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B3kpCFY8yH0Y4qQEz2qu6crFftYjQrBaSQWnQWQZ0Rx/cOfZ5CzcUKNMa0tLRMPl5AU5xmTMiBezLSOATQv3Yg==" workbookSaltValue="xyCXz+WMM5wziJ7JBEdD0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6" i="8" l="1"/>
  <c r="T31" i="8"/>
  <c r="BD9" i="8"/>
  <c r="H9" i="7" s="1"/>
  <c r="BH11" i="16"/>
  <c r="BJ21" i="11"/>
  <c r="BU25" i="17"/>
  <c r="S21" i="17"/>
  <c r="BF12" i="11"/>
  <c r="BL22" i="11"/>
  <c r="L16" i="2"/>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K19" i="11"/>
  <c r="BI16" i="11"/>
  <c r="BG9" i="11"/>
  <c r="R18" i="20"/>
  <c r="R23" i="20" s="1"/>
  <c r="BK18" i="11"/>
  <c r="AP18" i="20"/>
  <c r="BV13" i="16"/>
  <c r="BV21" i="16"/>
  <c r="BV11" i="16"/>
  <c r="BU13" i="17"/>
  <c r="BV20" i="16"/>
  <c r="AZ11" i="11"/>
  <c r="BK20" i="11"/>
  <c r="Q16" i="17"/>
  <c r="BK10" i="11"/>
  <c r="X21" i="20"/>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AB32" i="20"/>
  <c r="AO32" i="20"/>
  <c r="AL32" i="20"/>
  <c r="X32" i="20"/>
  <c r="AA32" i="20"/>
  <c r="AN32" i="20"/>
  <c r="AD32" i="20"/>
  <c r="AC32" i="20"/>
  <c r="AV32" i="20"/>
  <c r="O10" i="11"/>
  <c r="AP32" i="20"/>
  <c r="U17" i="11"/>
  <c r="W32" i="21"/>
  <c r="AQ32" i="20"/>
  <c r="Z32" i="20"/>
  <c r="N32" i="20"/>
  <c r="AH32" i="20"/>
  <c r="T32" i="20"/>
  <c r="I10" i="12" l="1"/>
  <c r="I9" i="12"/>
  <c r="K9" i="12"/>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<sst xmlns="http://schemas.openxmlformats.org/spreadsheetml/2006/main" count="2654" uniqueCount="1183">
  <si>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</si>
  <si>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</si>
  <si>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</si>
  <si>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</si>
  <si>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</si>
  <si>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</si>
  <si>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</si>
  <si>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</si>
  <si>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</si>
  <si>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</si>
  <si>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</si>
  <si>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</si>
  <si>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</si>
  <si>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</si>
  <si>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</si>
  <si>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</si>
  <si>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</si>
  <si>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</si>
  <si>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</si>
  <si>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</si>
  <si>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</si>
  <si>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</si>
  <si>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</si>
  <si>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</si>
  <si>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</si>
  <si>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</si>
  <si>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</si>
  <si>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</si>
  <si>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</si>
  <si>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</si>
  <si>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</si>
  <si>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</si>
  <si>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</si>
  <si>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</si>
  <si>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</si>
  <si>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</si>
  <si>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</si>
  <si>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</si>
  <si>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</si>
  <si>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</si>
  <si>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</si>
  <si>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</si>
  <si>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</si>
  <si>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</si>
  <si>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</si>
  <si>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</si>
  <si>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</si>
  <si>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</si>
  <si>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</si>
  <si>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</si>
  <si>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</si>
  <si>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</si>
  <si>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</si>
  <si>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</si>
  <si>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</si>
  <si>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</si>
  <si>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</si>
  <si>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</si>
  <si>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</si>
  <si>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</si>
  <si>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</si>
  <si>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</si>
  <si>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</si>
  <si>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</si>
  <si>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</si>
  <si>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</si>
  <si>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</si>
  <si>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</si>
  <si>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</si>
  <si>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</si>
  <si>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</si>
  <si>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</si>
  <si>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</si>
  <si>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</si>
  <si>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</si>
  <si>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</si>
  <si>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</si>
  <si>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</si>
  <si>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</si>
  <si>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</si>
  <si>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</si>
  <si>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</si>
  <si>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</si>
  <si>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</si>
  <si>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</si>
  <si>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</si>
  <si>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</si>
  <si>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</si>
  <si>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</si>
  <si>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</si>
  <si>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</si>
  <si>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</si>
  <si>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</si>
  <si>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</si>
  <si>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</si>
  <si>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</si>
  <si>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</si>
  <si>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</si>
  <si>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</si>
  <si>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</si>
  <si>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</si>
  <si>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</si>
  <si>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</si>
  <si>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</si>
  <si>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</si>
  <si>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</si>
  <si>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</si>
  <si>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</si>
  <si>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</si>
  <si>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</si>
  <si>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</si>
  <si>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</si>
  <si>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</si>
  <si>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</si>
  <si>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</si>
  <si>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</si>
  <si>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</si>
  <si>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</si>
  <si>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</si>
  <si>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</si>
  <si>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</si>
  <si>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</si>
  <si>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</si>
  <si>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</si>
  <si>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</si>
  <si>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</si>
  <si>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</si>
  <si>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</si>
  <si>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</si>
  <si>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</si>
  <si>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</si>
  <si>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</si>
  <si>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</si>
  <si>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</si>
  <si>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</si>
  <si>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</si>
  <si>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</si>
  <si>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</si>
  <si>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</si>
  <si>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</si>
  <si>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</si>
  <si>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</si>
  <si>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</si>
  <si>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</si>
  <si>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</si>
  <si>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</si>
  <si>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</si>
  <si>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</si>
  <si>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</si>
  <si>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</si>
  <si>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</si>
  <si>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</si>
  <si>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</si>
  <si>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</si>
  <si>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</si>
  <si>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</si>
  <si>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</si>
  <si>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</si>
  <si>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</si>
  <si>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</si>
  <si>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</si>
  <si>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</si>
  <si>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</si>
  <si>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</si>
  <si>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</si>
  <si>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</si>
  <si>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</si>
  <si>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</si>
  <si>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</si>
  <si>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</si>
  <si>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</si>
  <si>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</si>
  <si>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</si>
  <si>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</si>
  <si>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</si>
  <si>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</si>
  <si>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</si>
  <si>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</si>
  <si>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</si>
  <si>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</si>
  <si>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</si>
  <si>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</si>
  <si>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</si>
  <si>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</si>
  <si>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</si>
  <si>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</si>
  <si>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</si>
  <si>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</si>
  <si>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</si>
  <si>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</si>
  <si>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</si>
  <si>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</si>
  <si>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</si>
  <si>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</si>
  <si>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</si>
  <si>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</si>
  <si>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</si>
  <si>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</si>
  <si>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</si>
  <si>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</si>
  <si>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</si>
  <si>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</si>
  <si>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</si>
  <si>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</si>
  <si>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</si>
  <si>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</si>
  <si>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</si>
  <si>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</si>
  <si>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</si>
  <si>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</si>
  <si>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</si>
  <si>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</si>
  <si>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</si>
  <si>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</si>
  <si>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</si>
  <si>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</si>
  <si>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</si>
  <si>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</si>
  <si>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</si>
  <si>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</si>
  <si>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</si>
  <si>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</si>
  <si>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</si>
  <si>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</si>
  <si>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</si>
  <si>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</si>
  <si>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</si>
  <si>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</si>
  <si>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</si>
  <si>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</si>
  <si>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</si>
  <si>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</si>
  <si>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</si>
  <si>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</si>
  <si>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</si>
  <si>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</si>
  <si>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</si>
  <si>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</si>
  <si>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</si>
  <si>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</si>
  <si>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</si>
  <si>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</si>
  <si>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</si>
  <si>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</si>
  <si>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</si>
  <si>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</si>
  <si>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</si>
  <si>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</si>
  <si>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</si>
  <si>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</si>
  <si>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</si>
  <si>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</si>
  <si>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</si>
  <si>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</si>
  <si>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</si>
  <si>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</si>
  <si>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</si>
  <si>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</si>
  <si>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</si>
  <si>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</si>
  <si>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</si>
  <si>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</si>
  <si>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</si>
  <si>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</si>
  <si>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</si>
  <si>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</si>
  <si>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</si>
  <si>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</si>
  <si>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</si>
  <si>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</si>
  <si>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</si>
  <si>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</si>
  <si>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</si>
  <si>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</si>
  <si>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</si>
  <si>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</si>
  <si>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</si>
  <si>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</si>
  <si>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</si>
  <si>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</si>
  <si>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</si>
  <si>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</si>
  <si>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</si>
  <si>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</si>
  <si>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</si>
  <si>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</si>
  <si>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</si>
  <si>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</si>
  <si>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</si>
  <si>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</si>
  <si>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</si>
  <si>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</si>
  <si>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</si>
  <si>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</si>
  <si>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</si>
  <si>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</si>
  <si>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</si>
  <si>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</si>
  <si>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</si>
  <si>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</si>
  <si>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</si>
  <si>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</si>
  <si>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</si>
  <si>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</si>
  <si>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</si>
  <si>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</si>
  <si>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</si>
  <si>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</si>
  <si>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</si>
  <si>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</si>
  <si>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</si>
  <si>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</si>
  <si>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</si>
  <si>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</si>
  <si>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</si>
  <si>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</si>
  <si>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</si>
  <si>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</si>
  <si>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</si>
  <si>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</si>
  <si>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</si>
  <si>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</si>
  <si>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</si>
  <si>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</si>
  <si>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</si>
  <si>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</si>
  <si>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</si>
  <si>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</si>
  <si>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</si>
  <si>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</si>
  <si>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</si>
  <si>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</si>
  <si>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</si>
  <si>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</si>
  <si>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</si>
  <si>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</si>
  <si>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</si>
  <si>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</si>
  <si>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</si>
  <si>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</si>
  <si>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</si>
  <si>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</si>
  <si>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</si>
  <si>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</si>
  <si>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</si>
  <si>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</si>
  <si>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</si>
  <si>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</si>
  <si>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</si>
  <si>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</si>
  <si>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</si>
  <si>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</si>
  <si>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</si>
  <si>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</si>
  <si>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</si>
  <si>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</si>
  <si>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</si>
  <si>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</si>
  <si>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</si>
  <si>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</si>
  <si>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</si>
  <si>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</si>
  <si>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</si>
  <si>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</si>
  <si>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</si>
  <si>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</si>
  <si>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</si>
  <si>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</si>
  <si>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</si>
  <si>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</si>
  <si>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</si>
  <si>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</si>
  <si>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</si>
  <si>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</si>
  <si>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</si>
  <si>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</si>
  <si>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</si>
  <si>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</si>
  <si>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</si>
  <si>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</si>
  <si>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</si>
  <si>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</si>
  <si>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</si>
  <si>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</si>
  <si>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</si>
  <si>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</si>
  <si>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</si>
  <si>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</si>
  <si>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</si>
  <si>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</si>
  <si>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</si>
  <si>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</si>
  <si>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</si>
  <si>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</si>
  <si>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</si>
  <si>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</si>
  <si>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</si>
  <si>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</si>
  <si>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</si>
  <si>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</si>
  <si>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</si>
  <si>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</si>
  <si>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</si>
  <si>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</si>
  <si>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</si>
  <si>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</si>
  <si>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</si>
  <si>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</si>
  <si>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</si>
  <si>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</si>
  <si>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</si>
  <si>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</si>
  <si>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</si>
  <si>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</si>
  <si>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</si>
  <si>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</si>
  <si>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</si>
  <si>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</si>
  <si>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</si>
  <si>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</si>
  <si>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</si>
  <si>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</si>
  <si>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</si>
  <si>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</si>
  <si>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</si>
  <si>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</si>
  <si>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</si>
  <si>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</si>
  <si>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</si>
  <si>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</si>
  <si>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</si>
  <si>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</si>
  <si>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</si>
  <si>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</si>
  <si>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</si>
  <si>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</si>
  <si>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</si>
  <si>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</si>
  <si>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</si>
  <si>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</si>
  <si>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</si>
  <si>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</si>
  <si>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</si>
  <si>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</si>
  <si>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</si>
  <si>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</si>
  <si>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</si>
  <si>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</si>
  <si>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</si>
  <si>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</si>
  <si>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</si>
  <si>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</si>
  <si>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</si>
  <si>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</si>
  <si>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</si>
  <si>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</si>
  <si>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</si>
  <si>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</si>
  <si>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</si>
  <si>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</si>
  <si>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</si>
  <si>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</si>
  <si>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</si>
  <si>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</si>
  <si>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</si>
  <si>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</si>
  <si>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</si>
  <si>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</si>
  <si>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</si>
  <si>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</si>
  <si>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</si>
  <si>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</si>
  <si>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</si>
  <si>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</si>
  <si>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</si>
  <si>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</si>
  <si>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</si>
  <si>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</si>
  <si>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</si>
  <si>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</si>
  <si>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</si>
  <si>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</si>
  <si>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</si>
  <si>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</si>
  <si>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</si>
  <si>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</si>
  <si>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</si>
  <si>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</si>
  <si>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</si>
  <si>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</si>
  <si>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</si>
  <si>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</si>
  <si>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</si>
  <si>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</si>
  <si>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</si>
  <si>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</si>
  <si>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</si>
  <si>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</si>
  <si>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</si>
  <si>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</si>
  <si>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</si>
  <si>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</si>
  <si>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</si>
  <si>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</si>
  <si>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</si>
  <si>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</si>
  <si>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</si>
  <si>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</si>
  <si>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</si>
  <si>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</si>
  <si>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</si>
  <si>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</si>
  <si>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</si>
  <si>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</si>
  <si>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</si>
  <si>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</si>
  <si>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</si>
  <si>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</si>
  <si>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</si>
  <si>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</si>
  <si>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</si>
  <si>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</si>
  <si>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</si>
  <si>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</si>
  <si>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</si>
  <si>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</si>
  <si>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</si>
  <si>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</si>
  <si>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</si>
  <si>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</si>
  <si>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</si>
  <si>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</si>
  <si>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</si>
  <si>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</si>
  <si>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</si>
  <si>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</si>
  <si>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</si>
  <si>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</si>
  <si>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</si>
  <si>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</si>
  <si>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</si>
  <si>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</si>
  <si>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</si>
  <si>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</si>
  <si>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</si>
  <si>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</si>
  <si>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</si>
  <si>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</si>
  <si>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</si>
  <si>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</si>
  <si>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</si>
  <si>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</si>
  <si>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</si>
  <si>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</si>
  <si>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</si>
  <si>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</si>
  <si>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</si>
  <si>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</si>
  <si>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</si>
  <si>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</si>
  <si>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</si>
  <si>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</si>
  <si>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</si>
  <si>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</si>
  <si>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</si>
  <si>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</si>
  <si>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</si>
  <si>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</si>
  <si>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</si>
  <si>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</si>
  <si>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</si>
  <si>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</si>
  <si>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</si>
  <si>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</si>
  <si>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</si>
  <si>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</si>
  <si>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</si>
  <si>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</si>
  <si>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</si>
  <si>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</si>
  <si>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</si>
  <si>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</si>
  <si>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</si>
  <si>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</si>
  <si>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</si>
  <si>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</si>
  <si>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</si>
  <si>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</si>
  <si>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</si>
  <si>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</si>
  <si>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</si>
  <si>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</si>
  <si>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</si>
  <si>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</si>
  <si>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</si>
  <si>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</si>
  <si>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</si>
  <si>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</si>
  <si>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</si>
  <si>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</si>
  <si>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</si>
  <si>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</si>
  <si>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</si>
  <si>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</si>
  <si>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</si>
  <si>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</si>
  <si>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</si>
  <si>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</si>
  <si>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</si>
  <si>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</si>
  <si>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</si>
  <si>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</si>
  <si>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</si>
  <si>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</si>
  <si>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</si>
  <si>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</si>
  <si>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</si>
  <si>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</si>
  <si>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</si>
  <si>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</si>
  <si>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</si>
  <si>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</si>
  <si>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</si>
  <si>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</si>
  <si>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</si>
  <si>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</si>
  <si>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</si>
  <si>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</si>
  <si>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</si>
  <si>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</si>
  <si>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</si>
  <si>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</si>
  <si>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</si>
  <si>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</si>
  <si>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</si>
  <si>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</si>
  <si>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</si>
  <si>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</si>
  <si>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</si>
  <si>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</si>
  <si>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</si>
  <si>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</si>
  <si>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</si>
  <si>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</si>
  <si>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</si>
  <si>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</si>
  <si>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</si>
  <si>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</si>
  <si>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</si>
  <si>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</si>
  <si>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</si>
  <si>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</si>
  <si>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</si>
  <si>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</si>
  <si>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</si>
  <si>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</si>
  <si>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</si>
  <si>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</si>
  <si>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</si>
  <si>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</si>
  <si>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</si>
  <si>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</si>
  <si>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</si>
  <si>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</si>
  <si>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</si>
  <si>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</si>
  <si>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</si>
  <si>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</si>
  <si>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</si>
  <si>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</si>
  <si>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</si>
  <si>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</si>
  <si>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</si>
  <si>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</si>
  <si>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</si>
  <si>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</si>
  <si>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</si>
  <si>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</si>
  <si>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</si>
  <si>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</si>
  <si>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</si>
  <si>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</si>
  <si>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</si>
  <si>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</si>
  <si>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</si>
  <si>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</si>
  <si>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</si>
  <si>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</si>
  <si>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</si>
  <si>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</si>
  <si>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</si>
  <si>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</si>
  <si>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</si>
  <si>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</si>
  <si>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</si>
  <si>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</si>
  <si>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</si>
  <si>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</si>
  <si>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</si>
  <si>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</si>
  <si>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</si>
  <si>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</si>
  <si>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</si>
  <si>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</si>
  <si>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</si>
  <si>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</si>
  <si>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</si>
  <si>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</si>
  <si>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</si>
  <si>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</si>
  <si>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</si>
  <si>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</si>
  <si>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</si>
  <si>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</si>
  <si>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</si>
  <si>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</si>
  <si>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</si>
  <si>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</si>
  <si>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</si>
  <si>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</si>
  <si>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</si>
  <si>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</si>
  <si>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</si>
  <si>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</si>
  <si>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</si>
  <si>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</si>
  <si>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</si>
  <si>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</si>
  <si>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</si>
  <si>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</si>
  <si>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</si>
  <si>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</si>
  <si>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</si>
  <si>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</si>
  <si>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</si>
  <si>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</si>
  <si>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</si>
  <si>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</si>
  <si>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</si>
  <si>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</si>
  <si>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</si>
  <si>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</si>
  <si>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</si>
  <si>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</si>
  <si>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</si>
  <si>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</si>
  <si>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</si>
  <si>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</si>
  <si>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</si>
  <si>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</si>
  <si>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</si>
  <si>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</si>
  <si>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</si>
  <si>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</si>
  <si>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</si>
  <si>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</si>
  <si>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</si>
  <si>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</si>
  <si>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</si>
  <si>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</si>
  <si>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</si>
  <si>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</si>
  <si>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</si>
  <si>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</si>
  <si>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</si>
  <si>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</si>
  <si>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</si>
  <si>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</si>
  <si>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</si>
  <si>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</si>
  <si>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</si>
  <si>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</si>
  <si>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</si>
  <si>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</si>
  <si>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</si>
  <si>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</si>
  <si>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</si>
  <si>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</si>
  <si>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</si>
  <si>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</si>
  <si>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</si>
  <si>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</si>
  <si>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</si>
  <si>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</si>
  <si>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</si>
  <si>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</si>
  <si>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</si>
  <si>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</si>
  <si>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</si>
  <si>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</si>
  <si>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</si>
  <si>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</si>
  <si>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</si>
  <si>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</si>
  <si>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</si>
  <si>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</si>
  <si>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</si>
  <si>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</si>
  <si>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</si>
  <si>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</si>
  <si>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</si>
  <si>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</si>
  <si>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</si>
  <si>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</si>
  <si>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</si>
  <si>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</si>
  <si>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</si>
  <si>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</si>
  <si>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</si>
  <si>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</si>
  <si>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</si>
  <si>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</si>
  <si>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</si>
  <si>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</si>
  <si>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</si>
  <si>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</si>
  <si>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</si>
  <si>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</si>
  <si>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</si>
  <si>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</si>
  <si>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</si>
  <si>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</si>
  <si>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</si>
  <si>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</si>
  <si>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</si>
  <si>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</si>
  <si>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</si>
  <si>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</si>
  <si>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</si>
  <si>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</si>
  <si>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</si>
  <si>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</si>
  <si>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</si>
  <si>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</si>
  <si>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</si>
  <si>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</si>
  <si>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</si>
  <si>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</si>
  <si>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</si>
  <si>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</si>
  <si>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</si>
  <si>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</si>
  <si>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</si>
  <si>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</si>
  <si>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</si>
  <si>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</si>
  <si>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</si>
  <si>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</si>
  <si>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</si>
  <si>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</si>
  <si>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</si>
  <si>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</si>
  <si>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</si>
  <si>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</si>
  <si>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</si>
  <si>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</si>
  <si>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</si>
  <si>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</si>
  <si>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</si>
  <si>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</si>
  <si>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</si>
  <si>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</si>
  <si>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</si>
  <si>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</si>
  <si>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</si>
  <si>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</si>
  <si>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</si>
  <si>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</si>
  <si>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</si>
  <si>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</si>
  <si>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</si>
  <si>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</si>
  <si>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</si>
  <si>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</si>
  <si>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</si>
  <si>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</si>
  <si>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</si>
  <si>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</si>
  <si>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</si>
  <si>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</si>
  <si>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</si>
  <si>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</si>
  <si>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</si>
  <si>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</si>
  <si>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</si>
  <si>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</si>
  <si>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</si>
  <si>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</si>
  <si>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</si>
  <si>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</si>
  <si>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</si>
  <si>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</si>
  <si>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</si>
  <si>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</si>
  <si>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</si>
  <si>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</si>
  <si>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</si>
  <si>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</si>
  <si>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</si>
  <si>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</si>
  <si>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</si>
  <si>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</si>
  <si>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</si>
  <si>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</si>
  <si>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</si>
  <si>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</si>
  <si>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</si>
  <si>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</si>
  <si>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</si>
  <si>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</si>
  <si>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</si>
  <si>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</si>
  <si>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</si>
  <si>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</si>
  <si>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</si>
  <si>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</si>
  <si>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</si>
  <si>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</si>
  <si>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</si>
  <si>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</si>
  <si>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</si>
  <si>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</si>
  <si>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</si>
  <si>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</si>
  <si>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</si>
  <si>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</si>
  <si>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</si>
  <si>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</si>
  <si>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</si>
  <si>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</si>
  <si>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</si>
  <si>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</si>
  <si>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</si>
  <si>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</si>
  <si>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</si>
  <si>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</si>
  <si>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</si>
  <si>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</si>
  <si>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</si>
  <si>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</si>
  <si>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</si>
  <si>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</si>
  <si>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</si>
  <si>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</si>
  <si>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</si>
  <si>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</si>
  <si>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</si>
  <si>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</si>
  <si>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</si>
  <si>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</si>
  <si>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</si>
  <si>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</si>
  <si>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</si>
  <si>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</si>
  <si>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</si>
  <si>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</si>
  <si>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</si>
  <si>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</si>
  <si>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</si>
  <si>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</si>
  <si>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</si>
  <si>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</si>
  <si>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</si>
  <si>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</si>
  <si>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</si>
  <si>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</si>
  <si>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</si>
  <si>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</si>
  <si>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</si>
  <si>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</si>
  <si>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</si>
  <si>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</si>
  <si>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</si>
  <si>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</si>
  <si>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</si>
  <si>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</si>
  <si>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</si>
  <si>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</si>
  <si>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</si>
  <si>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</si>
  <si>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</si>
  <si>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</si>
  <si>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</si>
  <si>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</si>
  <si>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</si>
  <si>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</si>
  <si>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</si>
  <si>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</si>
  <si>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</si>
  <si>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</si>
  <si>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</si>
  <si>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</si>
  <si>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</si>
  <si>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</si>
  <si>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</si>
  <si>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</si>
  <si>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</si>
  <si>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</si>
  <si>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</si>
  <si>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</si>
  <si>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</si>
  <si>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</si>
  <si>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</si>
  <si>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</si>
  <si>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</si>
  <si>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</si>
  <si>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</si>
  <si>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</si>
  <si>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</si>
  <si>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</si>
  <si>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</si>
  <si>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</si>
  <si>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</si>
  <si>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</si>
  <si>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</si>
  <si>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</si>
  <si>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</si>
  <si>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</si>
  <si>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</si>
  <si>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</si>
  <si>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</si>
  <si>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</si>
  <si>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</si>
  <si>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</si>
  <si>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</si>
  <si>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</si>
  <si>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</si>
  <si>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</si>
  <si>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</si>
  <si>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</si>
  <si>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</si>
  <si>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</si>
  <si>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</si>
  <si>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</si>
  <si>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</si>
  <si>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</si>
  <si>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</si>
  <si>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</si>
  <si>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</si>
  <si>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</si>
  <si>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</si>
  <si>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</si>
  <si>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</si>
  <si>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</si>
  <si>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</si>
  <si>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</si>
  <si>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</si>
  <si>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</si>
  <si>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</si>
  <si>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</si>
  <si>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</si>
  <si>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</si>
  <si>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</si>
  <si>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</si>
  <si>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</si>
  <si>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</si>
  <si>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</si>
  <si>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</si>
  <si>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</si>
  <si>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</si>
  <si>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</si>
  <si>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</si>
  <si>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</si>
  <si>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</si>
  <si>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</si>
  <si>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</si>
  <si>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</si>
  <si>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</si>
  <si>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</si>
  <si>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</si>
  <si>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</si>
  <si>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</si>
  <si>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</si>
  <si>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</si>
  <si>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</si>
  <si>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</si>
  <si>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</si>
  <si>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</si>
  <si>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</si>
  <si>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</si>
  <si>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</si>
  <si>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</si>
  <si>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</si>
  <si>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</si>
  <si>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</si>
  <si>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</si>
  <si>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</si>
  <si>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</si>
  <si>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</si>
  <si>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</si>
  <si>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</si>
  <si>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</si>
  <si>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</si>
  <si>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</si>
  <si>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</si>
  <si>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</si>
  <si>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</si>
  <si>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</si>
  <si>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</si>
  <si>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</si>
  <si>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</si>
  <si>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</si>
  <si>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</si>
  <si>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</si>
  <si>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</si>
  <si>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</si>
  <si>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</si>
  <si>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</si>
  <si>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</si>
  <si>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</si>
  <si>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</si>
  <si>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</si>
  <si>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</si>
  <si>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</si>
  <si>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</si>
  <si>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</si>
  <si>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</si>
  <si>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</si>
  <si>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</si>
  <si>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</si>
  <si>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</si>
  <si>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</si>
  <si>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</si>
  <si>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</si>
  <si>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</si>
  <si>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</si>
  <si>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</si>
  <si>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</si>
  <si>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</si>
  <si>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</si>
  <si>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</si>
  <si>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</si>
  <si>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</si>
  <si>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</si>
  <si>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</si>
  <si>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</si>
  <si>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</si>
  <si>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</si>
  <si>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</si>
  <si>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</si>
  <si>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</si>
  <si>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</si>
  <si>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</si>
  <si>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</si>
  <si>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</si>
  <si>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</si>
  <si>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</si>
  <si>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</si>
  <si>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</si>
  <si>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</si>
  <si>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</si>
  <si>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</si>
  <si>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</si>
  <si>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</si>
  <si>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</si>
  <si>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</si>
  <si>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</si>
  <si>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</si>
  <si>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</si>
  <si>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</si>
  <si>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</si>
  <si>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</si>
  <si>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</si>
  <si>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</si>
  <si>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</si>
  <si>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</si>
  <si>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</si>
  <si>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</si>
  <si>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</si>
  <si>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</si>
  <si>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</si>
  <si>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</si>
  <si>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</si>
  <si>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</si>
  <si>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</si>
  <si>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</si>
  <si>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</si>
  <si>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</si>
  <si>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</si>
  <si>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</si>
  <si>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</si>
  <si>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BADAJOZ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</si>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</sst>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0</v>
      </c>
    </row>
    <row r="4" spans="1:19" ht="22.5" customHeight="1" thickBot="1">
      <c r="A4" s="413" t="s">
        <v>1177</v>
      </c>
      <c r="B4" s="412"/>
      <c r="C4" s="412"/>
      <c r="D4" s="412"/>
      <c r="E4" s="412"/>
      <c r="F4" s="2"/>
      <c r="Q4" s="391">
        <v>2</v>
      </c>
      <c r="R4" s="391">
        <v>3</v>
      </c>
      <c r="S4" t="b">
        <f>AND(Q4&gt;=TrimIni,Q4&lt;=TrimFin)</f>
        <v>1</v>
      </c>
    </row>
    <row r="5" spans="1:19" ht="15.75" thickBot="1">
      <c r="A5" s="414" t="s">
        <v>55</v>
      </c>
      <c r="B5" s="415">
        <v>2022</v>
      </c>
      <c r="C5" s="416" t="s">
        <v>273</v>
      </c>
      <c r="D5" s="417">
        <v>2</v>
      </c>
      <c r="E5" s="418"/>
      <c r="F5" s="3"/>
      <c r="H5" t="s">
        <v>542</v>
      </c>
      <c r="Q5" s="391">
        <v>3</v>
      </c>
      <c r="R5" s="391">
        <v>2</v>
      </c>
      <c r="S5" t="b">
        <f>AND(Q5&gt;=TrimIni,Q5&lt;=TrimFin)</f>
        <v>0</v>
      </c>
    </row>
    <row r="6" spans="1:19" ht="15">
      <c r="A6" s="419"/>
      <c r="B6" s="418"/>
      <c r="C6" s="416" t="s">
        <v>274</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1181</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oeFc04MFDdaqJn16mL5y65yf2SY3TCZX5bB4uc3L/sz0WzWebvZqh0aTg3J9ovCqwtsUhFDyBBEopA4+Ka6oQ==" saltValue="TPwMxwaxa2/TyxmNhV0Q2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EXTREMADURA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2 al 2</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17.789023841655421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50</v>
      </c>
      <c r="D10" s="239">
        <f>IF(ISNUMBER(Datos!I10),Datos!I10," - ")</f>
        <v>50</v>
      </c>
      <c r="E10" s="240">
        <f>IF(ISNUMBER(Datos!J10),Datos!J10," - ")</f>
        <v>42</v>
      </c>
      <c r="F10" s="240">
        <f>IF(ISNUMBER(Datos!K10),Datos!K10," - ")</f>
        <v>37</v>
      </c>
      <c r="G10" s="1390" t="str">
        <f>IF(Datos!E10&lt;&gt;"",Datos!E10,Datos!D10)</f>
        <v>37</v>
      </c>
      <c r="H10" s="241">
        <f>IF(ISNUMBER(Datos!L10),Datos!L10," - ")</f>
        <v>55</v>
      </c>
      <c r="I10" s="1400" t="str">
        <f>IF(ISNUMBER(Datos!AS10/Datos!BM10),Datos!AS10/Datos!BM10," - ")</f>
        <v xml:space="preserve"> - </v>
      </c>
      <c r="J10" s="1401">
        <f>IF(ISNUMBER(Datos!BY10/Datos!CN10),Datos!BY10/Datos!CN10," - ")</f>
        <v>0</v>
      </c>
      <c r="K10" s="244">
        <f t="shared" ref="K10:K13" si="1">IF(ISNUMBER((E10-F10)/C10),(E10-F10)/C10," - ")</f>
        <v>0.1</v>
      </c>
      <c r="L10" s="1402">
        <f>IF(ISNUMBER(NºAsuntos!I10/NºAsuntos!G10),(NºAsuntos!I10/NºAsuntos!G10)*11," - ")</f>
        <v>16.351351351351351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16.634877384196187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50</v>
      </c>
      <c r="D14" s="1407">
        <f>SUBTOTAL(9,D9:D13)</f>
        <v>50</v>
      </c>
      <c r="E14" s="1408">
        <f>SUBTOTAL(9,E9:E13)</f>
        <v>42</v>
      </c>
      <c r="F14" s="1409">
        <f>SUBTOTAL(9,F9:F13)</f>
        <v>37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1251</v>
      </c>
      <c r="D16" s="239">
        <f>IF(ISNUMBER(IF(D_I="SI",Datos!I16,Datos!I16+Datos!AC16)),IF(D_I="SI",Datos!I16,Datos!I16+Datos!AC16)," - ")</f>
        <v>1224</v>
      </c>
      <c r="E16" s="240">
        <f>IF(ISNUMBER(IF(D_I="SI",Datos!J16,Datos!J16+Datos!AD16)),IF(D_I="SI",Datos!J16,Datos!J16+Datos!AD16)," - ")</f>
        <v>2712</v>
      </c>
      <c r="F16" s="240">
        <f>IF(ISNUMBER(IF(D_I="SI",Datos!K16,Datos!K16+Datos!AE16)),IF(D_I="SI",Datos!K16,Datos!K16+Datos!AE16)," - ")</f>
        <v>2712</v>
      </c>
      <c r="G16" s="1390" t="str">
        <f>IF(Datos!E16&lt;&gt;"",Datos!E16,Datos!D16)</f>
        <v>03</v>
      </c>
      <c r="H16" s="241">
        <f>IF(ISNUMBER(IF(D_I="SI",Datos!L16,Datos!L16+Datos!AF16)),IF(D_I="SI",Datos!L16,Datos!L16+Datos!AF16)," - ")</f>
        <v>1251</v>
      </c>
      <c r="I16" s="1400" t="str">
        <f>IF(ISNUMBER(Datos!AS16/Datos!BM16),Datos!AS16/Datos!BM16," - ")</f>
        <v xml:space="preserve"> - </v>
      </c>
      <c r="J16" s="1401">
        <f>IF(ISNUMBER(Datos!BY16/Datos!CN16),Datos!BY16/Datos!CN16," - ")</f>
        <v>0</v>
      </c>
      <c r="K16" s="244">
        <f t="shared" ref="K16:K22" si="3">IF(ISNUMBER((E16-F16)/C16),(E16-F16)/C16," - ")</f>
        <v>0</v>
      </c>
      <c r="L16" s="1402">
        <f>IF(ISNUMBER(NºAsuntos!I16/NºAsuntos!G16),(NºAsuntos!I16/NºAsuntos!G16)*11," - ")</f>
        <v>5.0741150442477876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66</v>
      </c>
      <c r="D18" s="239">
        <f>IF(ISNUMBER(IF(D_I="SI",Datos!I18,Datos!I18+Datos!AC18)),IF(D_I="SI",Datos!I18,Datos!I18+Datos!AC18)," - ")</f>
        <v>66</v>
      </c>
      <c r="E18" s="240">
        <f>IF(ISNUMBER(IF(D_I="SI",Datos!J18,Datos!J18+Datos!AD18)),IF(D_I="SI",Datos!J18,Datos!J18+Datos!AD18)," - ")</f>
        <v>253</v>
      </c>
      <c r="F18" s="240">
        <f>IF(ISNUMBER(IF(D_I="SI",Datos!K18,Datos!K18+Datos!AE18)),IF(D_I="SI",Datos!K18,Datos!K18+Datos!AE18)," - ")</f>
        <v>279</v>
      </c>
      <c r="G18" s="1390" t="str">
        <f>IF(Datos!E18&lt;&gt;"",Datos!E18,Datos!D18)</f>
        <v>37</v>
      </c>
      <c r="H18" s="241">
        <f>IF(ISNUMBER(IF(D_I="SI",Datos!L18,Datos!L18+Datos!AF18)),IF(D_I="SI",Datos!L18,Datos!L18+Datos!AF18)," - ")</f>
        <v>40</v>
      </c>
      <c r="I18" s="1400" t="str">
        <f>IF(ISNUMBER(Datos!AS18/Datos!BM18),Datos!AS18/Datos!BM18," - ")</f>
        <v xml:space="preserve"> - </v>
      </c>
      <c r="J18" s="1401" t="str">
        <f>IF(ISNUMBER((Datos!BY18+Datos!BZ18)/Datos!CN18),(Datos!BY18+Datos!BZ18)/Datos!CN18," - ")</f>
        <v xml:space="preserve"> - </v>
      </c>
      <c r="K18" s="244">
        <f t="shared" si="3"/>
        <v>-0.39393939393939392</v>
      </c>
      <c r="L18" s="1402">
        <f>IF(ISNUMBER(NºAsuntos!I18/NºAsuntos!G18),(NºAsuntos!I18/NºAsuntos!G18)*11," - ")</f>
        <v>1.5770609318996416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1317</v>
      </c>
      <c r="D23" s="1407">
        <f>SUBTOTAL(9,D16:D22)</f>
        <v>1290</v>
      </c>
      <c r="E23" s="1408">
        <f>SUBTOTAL(9,E16:E22)</f>
        <v>2965</v>
      </c>
      <c r="F23" s="1408">
        <f>SUBTOTAL(9,F16:F22)</f>
        <v>2991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1367</v>
      </c>
      <c r="D31" s="1435">
        <f>SUBTOTAL(9,D9:D30)</f>
        <v>1340</v>
      </c>
      <c r="E31" s="1436">
        <f>SUBTOTAL(9,E9:E30)</f>
        <v>3007</v>
      </c>
      <c r="F31" s="1436">
        <f>SUBTOTAL(9,F9:F30)</f>
        <v>3028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837</v>
      </c>
      <c r="O37" s="1744"/>
      <c r="P37" s="1744"/>
      <c r="Q37" s="1744"/>
      <c r="R37" s="1744"/>
      <c r="S37" s="1744"/>
      <c r="T37" s="1744"/>
      <c r="U37" s="1744"/>
      <c r="V37" s="1744"/>
      <c r="W37" s="1744"/>
      <c r="Y37" s="1744" t="s">
        <v>838</v>
      </c>
      <c r="Z37" s="1744"/>
      <c r="AA37" s="1744"/>
      <c r="AB37" s="1744"/>
      <c r="AC37" s="1744"/>
    </row>
    <row r="39" spans="2:29">
      <c r="N39" s="1386" t="s">
        <v>839</v>
      </c>
      <c r="O39" s="1745" t="s">
        <v>840</v>
      </c>
      <c r="P39" s="1745"/>
      <c r="Q39" s="1745"/>
      <c r="R39" s="1745"/>
      <c r="S39" s="1745"/>
      <c r="T39" s="1745"/>
      <c r="U39" s="1745"/>
      <c r="V39" s="1745"/>
      <c r="W39" s="1745"/>
      <c r="Y39" s="1386" t="s">
        <v>839</v>
      </c>
      <c r="Z39" s="1746" t="s">
        <v>841</v>
      </c>
      <c r="AA39" s="1746"/>
      <c r="AB39" s="1746"/>
      <c r="AC39" s="1746"/>
    </row>
    <row r="40" spans="2:29">
      <c r="N40" s="1386" t="s">
        <v>842</v>
      </c>
      <c r="O40" s="1745" t="s">
        <v>843</v>
      </c>
      <c r="P40" s="1745"/>
      <c r="Q40" s="1745"/>
      <c r="R40" s="1745"/>
      <c r="S40" s="1745"/>
      <c r="T40" s="1745"/>
      <c r="U40" s="1745"/>
      <c r="V40" s="1745"/>
      <c r="W40" s="1745"/>
      <c r="Y40" s="1386" t="s">
        <v>842</v>
      </c>
      <c r="Z40" s="1746" t="s">
        <v>844</v>
      </c>
      <c r="AA40" s="1746"/>
      <c r="AB40" s="1746"/>
      <c r="AC40" s="1746"/>
    </row>
    <row r="41" spans="2:29">
      <c r="N41" s="1386" t="s">
        <v>845</v>
      </c>
      <c r="O41" s="1745" t="s">
        <v>846</v>
      </c>
      <c r="P41" s="1745"/>
      <c r="Q41" s="1745"/>
      <c r="R41" s="1745"/>
      <c r="S41" s="1745"/>
      <c r="T41" s="1745"/>
      <c r="U41" s="1745"/>
      <c r="V41" s="1745"/>
      <c r="W41" s="1745"/>
      <c r="Y41" s="1386" t="s">
        <v>847</v>
      </c>
      <c r="Z41" s="1746" t="s">
        <v>848</v>
      </c>
      <c r="AA41" s="1746"/>
      <c r="AB41" s="1746"/>
      <c r="AC41" s="1746"/>
    </row>
    <row r="42" spans="2:29">
      <c r="N42" s="1386" t="s">
        <v>849</v>
      </c>
      <c r="O42" s="1745" t="s">
        <v>850</v>
      </c>
      <c r="P42" s="1745"/>
      <c r="Q42" s="1745"/>
      <c r="R42" s="1745"/>
      <c r="S42" s="1745"/>
      <c r="T42" s="1745"/>
      <c r="U42" s="1745"/>
      <c r="V42" s="1745"/>
      <c r="W42" s="1745"/>
      <c r="Y42" s="1386" t="s">
        <v>851</v>
      </c>
      <c r="Z42" s="1746" t="s">
        <v>852</v>
      </c>
      <c r="AA42" s="1746"/>
      <c r="AB42" s="1746"/>
      <c r="AC42" s="1746"/>
    </row>
    <row r="43" spans="2:29">
      <c r="N43" s="1386" t="s">
        <v>939</v>
      </c>
      <c r="O43" s="1745" t="s">
        <v>940</v>
      </c>
      <c r="P43" s="1745"/>
      <c r="Q43" s="1745"/>
      <c r="R43" s="1745"/>
      <c r="S43" s="1745"/>
      <c r="T43" s="1745"/>
      <c r="U43" s="1745"/>
      <c r="V43" s="1745"/>
      <c r="W43" s="1745"/>
      <c r="Y43" s="1386" t="s">
        <v>845</v>
      </c>
      <c r="Z43" s="1746" t="s">
        <v>846</v>
      </c>
      <c r="AA43" s="1746"/>
      <c r="AB43" s="1746"/>
      <c r="AC43" s="1746"/>
    </row>
    <row r="44" spans="2:29">
      <c r="N44" s="1386" t="s">
        <v>853</v>
      </c>
      <c r="O44" s="1745" t="s">
        <v>854</v>
      </c>
      <c r="P44" s="1745"/>
      <c r="Q44" s="1745"/>
      <c r="R44" s="1745"/>
      <c r="S44" s="1745"/>
      <c r="T44" s="1745"/>
      <c r="U44" s="1745"/>
      <c r="V44" s="1745"/>
      <c r="W44" s="1745"/>
      <c r="Y44" s="1386" t="s">
        <v>849</v>
      </c>
      <c r="Z44" s="1746" t="s">
        <v>850</v>
      </c>
      <c r="AA44" s="1746"/>
      <c r="AB44" s="1746"/>
      <c r="AC44" s="1746"/>
    </row>
    <row r="45" spans="2:29">
      <c r="N45" s="1386" t="s">
        <v>855</v>
      </c>
      <c r="O45" s="1745" t="s">
        <v>856</v>
      </c>
      <c r="P45" s="1745"/>
      <c r="Q45" s="1745"/>
      <c r="R45" s="1745"/>
      <c r="S45" s="1745"/>
      <c r="T45" s="1745"/>
      <c r="U45" s="1745"/>
      <c r="V45" s="1745"/>
      <c r="W45" s="1745"/>
      <c r="Y45" s="1386" t="s">
        <v>858</v>
      </c>
      <c r="Z45" s="1746" t="s">
        <v>859</v>
      </c>
      <c r="AA45" s="1746"/>
      <c r="AB45" s="1746"/>
      <c r="AC45" s="1746"/>
    </row>
    <row r="46" spans="2:29">
      <c r="N46" s="1386" t="s">
        <v>847</v>
      </c>
      <c r="O46" s="1745" t="s">
        <v>857</v>
      </c>
      <c r="P46" s="1745"/>
      <c r="Q46" s="1745"/>
      <c r="R46" s="1745"/>
      <c r="S46" s="1745"/>
      <c r="T46" s="1745"/>
      <c r="U46" s="1745"/>
      <c r="V46" s="1745"/>
      <c r="W46" s="1745"/>
      <c r="Y46" s="1386" t="s">
        <v>861</v>
      </c>
      <c r="Z46" s="1746" t="s">
        <v>862</v>
      </c>
      <c r="AA46" s="1746"/>
      <c r="AB46" s="1746"/>
      <c r="AC46" s="1746"/>
    </row>
    <row r="47" spans="2:29">
      <c r="N47" s="1386" t="s">
        <v>851</v>
      </c>
      <c r="O47" s="1745" t="s">
        <v>860</v>
      </c>
      <c r="P47" s="1745"/>
      <c r="Q47" s="1745"/>
      <c r="R47" s="1745"/>
      <c r="S47" s="1745"/>
      <c r="T47" s="1745"/>
      <c r="U47" s="1745"/>
      <c r="V47" s="1745"/>
      <c r="W47" s="1745"/>
      <c r="Y47" s="1387" t="s">
        <v>864</v>
      </c>
      <c r="Z47" s="1747" t="s">
        <v>865</v>
      </c>
      <c r="AA47" s="1747"/>
      <c r="AB47" s="1747"/>
      <c r="AC47" s="1747"/>
    </row>
    <row r="48" spans="2:29">
      <c r="N48" s="1386" t="s">
        <v>858</v>
      </c>
      <c r="O48" s="1745" t="s">
        <v>863</v>
      </c>
      <c r="P48" s="1745"/>
      <c r="Q48" s="1745"/>
      <c r="R48" s="1745"/>
      <c r="S48" s="1745"/>
      <c r="T48" s="1745"/>
      <c r="U48" s="1745"/>
      <c r="V48" s="1745"/>
      <c r="W48" s="1745"/>
      <c r="Y48" s="1386" t="s">
        <v>853</v>
      </c>
      <c r="Z48" s="1746" t="s">
        <v>854</v>
      </c>
      <c r="AA48" s="1746"/>
      <c r="AB48" s="1746"/>
      <c r="AC48" s="1746"/>
    </row>
    <row r="49" spans="14:29">
      <c r="N49" s="1386" t="s">
        <v>866</v>
      </c>
      <c r="O49" s="1745" t="s">
        <v>867</v>
      </c>
      <c r="P49" s="1745"/>
      <c r="Q49" s="1745"/>
      <c r="R49" s="1745"/>
      <c r="S49" s="1745"/>
      <c r="T49" s="1745"/>
      <c r="U49" s="1745"/>
      <c r="V49" s="1745"/>
      <c r="W49" s="1745"/>
      <c r="Y49" s="1388" t="s">
        <v>855</v>
      </c>
      <c r="Z49" s="1749" t="s">
        <v>856</v>
      </c>
      <c r="AA49" s="1749"/>
      <c r="AB49" s="1749"/>
      <c r="AC49" s="1749"/>
    </row>
    <row r="50" spans="14:29">
      <c r="N50" s="1386" t="s">
        <v>861</v>
      </c>
      <c r="O50" s="1745" t="s">
        <v>868</v>
      </c>
      <c r="P50" s="1745"/>
      <c r="Q50" s="1745"/>
      <c r="R50" s="1745"/>
      <c r="S50" s="1745"/>
      <c r="T50" s="1745"/>
      <c r="U50" s="1745"/>
      <c r="V50" s="1745"/>
      <c r="W50" s="1745"/>
    </row>
    <row r="51" spans="14:29">
      <c r="N51" s="1388" t="s">
        <v>864</v>
      </c>
      <c r="O51" s="1748" t="s">
        <v>869</v>
      </c>
      <c r="P51" s="1748"/>
      <c r="Q51" s="1748"/>
      <c r="R51" s="1748"/>
      <c r="S51" s="1748"/>
      <c r="T51" s="1748"/>
      <c r="U51" s="1748"/>
      <c r="V51" s="1748"/>
      <c r="W51" s="1748"/>
    </row>
  </sheetData>
  <sheetProtection algorithmName="SHA-512" hashValue="HZUlCBPeNT53NT/9EMmodIxlJa/nEAng4RPox/6AooA6lLQy9INB5dJXs6D4XJgJqkD0XoUvK8CZF4h9zIodzQ==" saltValue="HKfgibiBo7A1WG9rgVNbv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R4487Dvr80xQcjmB2R+zWSLzYlSEidyfUQ/trYtfxtsbvnxEHmyK4WErx9Y7DJWuaFyB6Qwj1zLBztaOUfMspw==" saltValue="w9hfN3t0UWbjWxNKNhdT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1002</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v>3335</v>
      </c>
      <c r="J9" s="194">
        <v>2220</v>
      </c>
      <c r="K9" s="194">
        <v>2064</v>
      </c>
      <c r="L9" s="194">
        <v>3489</v>
      </c>
      <c r="M9" s="194">
        <v>454</v>
      </c>
      <c r="N9" s="194">
        <v>787</v>
      </c>
      <c r="O9" s="194">
        <v>1177</v>
      </c>
      <c r="P9" s="194">
        <v>566</v>
      </c>
      <c r="Q9" s="194">
        <v>554</v>
      </c>
      <c r="R9" s="194">
        <v>7115</v>
      </c>
      <c r="S9" s="194">
        <v>3955</v>
      </c>
      <c r="T9" s="194">
        <v>2030</v>
      </c>
      <c r="U9" s="194">
        <v>2420</v>
      </c>
      <c r="V9" s="194">
        <v>3399</v>
      </c>
      <c r="W9" s="194">
        <v>524</v>
      </c>
      <c r="X9" s="201">
        <v>1044</v>
      </c>
      <c r="Y9" s="204">
        <v>147</v>
      </c>
      <c r="Z9" s="194">
        <v>118</v>
      </c>
      <c r="AA9" s="194">
        <v>159</v>
      </c>
      <c r="AB9" s="194">
        <v>106</v>
      </c>
      <c r="AC9" s="194">
        <v>0</v>
      </c>
      <c r="AD9" s="194">
        <v>0</v>
      </c>
      <c r="AE9" s="194">
        <v>0</v>
      </c>
      <c r="AF9" s="201">
        <v>0</v>
      </c>
      <c r="AG9" s="204">
        <v>163</v>
      </c>
      <c r="AH9" s="194">
        <v>169</v>
      </c>
      <c r="AI9" s="194">
        <v>192</v>
      </c>
      <c r="AJ9" s="205">
        <v>140</v>
      </c>
      <c r="AK9" s="193">
        <v>0</v>
      </c>
      <c r="AL9" s="194">
        <v>0</v>
      </c>
      <c r="AM9" s="194">
        <v>0</v>
      </c>
      <c r="AN9" s="201">
        <v>0</v>
      </c>
      <c r="AO9" s="282">
        <v>6</v>
      </c>
      <c r="AP9" s="167">
        <v>6</v>
      </c>
      <c r="AQ9" s="167">
        <v>6</v>
      </c>
      <c r="AR9" s="206">
        <v>6</v>
      </c>
      <c r="AS9" s="379" t="s">
        <v>1067</v>
      </c>
      <c r="AT9" s="208"/>
      <c r="AU9" s="207"/>
      <c r="AV9" s="208"/>
      <c r="AW9" s="207"/>
      <c r="AX9" s="208"/>
      <c r="AY9" s="133">
        <f>IF(ISNUMBER(IF(J_V="SI",S9,S9+AG9)),IF(J_V="SI",S9,S9+AG9)," - ")</f>
        <v>4118</v>
      </c>
      <c r="AZ9" s="133">
        <f>IF(ISNUMBER(IF(J_V="SI",T9,T9+AH9)),IF(J_V="SI",T9,T9+AH9)," - ")</f>
        <v>2199</v>
      </c>
      <c r="BA9" s="134">
        <f>IF(ISNUMBER(IF(J_V="SI",U9,U9+AI9)),IF(J_V="SI",U9,U9+AI9)," - ")</f>
        <v>2612</v>
      </c>
      <c r="BB9" s="134">
        <f>IF(ISNUMBER(IF(J_V="SI",V9,V9+AJ9)),IF(J_V="SI",V9,V9+AJ9)," - ")</f>
        <v>3539</v>
      </c>
      <c r="BC9" s="135">
        <f>IF(ISNUMBER(X9),X9," - ")</f>
        <v>1044</v>
      </c>
      <c r="BD9" s="136">
        <f>IF(ISNUMBER(BA9/AZ9),BA9/AZ9," - ")</f>
        <v>1.1878126421100501</v>
      </c>
      <c r="BE9" s="137">
        <f>IF(ISNUMBER(BB9/BA9),BB9/BA9, " - ")</f>
        <v>1.3549004594180705</v>
      </c>
      <c r="BF9" s="137">
        <f>IF(ISNUMBER(BC9/BA9),BC9/BA9, " - ")</f>
        <v>0.3996937212863706</v>
      </c>
      <c r="BG9" s="209">
        <f>IF(ISNUMBER((AY9+AZ9)/BA9),(AY9+AZ9)/BA9," - ")</f>
        <v>2.4184532924961717</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50</v>
      </c>
      <c r="J10" s="194">
        <v>42</v>
      </c>
      <c r="K10" s="194">
        <v>37</v>
      </c>
      <c r="L10" s="194">
        <v>55</v>
      </c>
      <c r="M10" s="194">
        <v>16</v>
      </c>
      <c r="N10" s="194">
        <v>12</v>
      </c>
      <c r="O10" s="194">
        <v>7</v>
      </c>
      <c r="P10" s="194">
        <v>9</v>
      </c>
      <c r="Q10" s="194">
        <v>12</v>
      </c>
      <c r="R10" s="194">
        <v>66</v>
      </c>
      <c r="S10" s="194">
        <v>42</v>
      </c>
      <c r="T10" s="194">
        <v>39</v>
      </c>
      <c r="U10" s="194">
        <v>32</v>
      </c>
      <c r="V10" s="194">
        <v>49</v>
      </c>
      <c r="W10" s="194">
        <v>12</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1061</v>
      </c>
      <c r="AT10" s="205"/>
      <c r="AU10" s="213"/>
      <c r="AV10" s="205"/>
      <c r="AW10" s="213"/>
      <c r="AX10" s="205"/>
      <c r="AY10" s="138">
        <f t="shared" ref="AY10:BC10" si="0">IF(ISNUMBER(S10),S10," - ")</f>
        <v>42</v>
      </c>
      <c r="AZ10" s="139">
        <f t="shared" si="0"/>
        <v>39</v>
      </c>
      <c r="BA10" s="139">
        <f t="shared" si="0"/>
        <v>32</v>
      </c>
      <c r="BB10" s="139">
        <f t="shared" si="0"/>
        <v>49</v>
      </c>
      <c r="BC10" s="135">
        <f t="shared" si="0"/>
        <v>12</v>
      </c>
      <c r="BD10" s="136">
        <f>IF(ISNUMBER(BA10/AZ10),BA10/AZ10," - ")</f>
        <v>0.82051282051282048</v>
      </c>
      <c r="BE10" s="137">
        <f>IF(ISNUMBER(BB10/BA10),BB10/BA10, " - ")</f>
        <v>1.53125</v>
      </c>
      <c r="BF10" s="137">
        <f>IF(ISNUMBER(BC10/BA10),BC10/BA10, " - ")</f>
        <v>0.375</v>
      </c>
      <c r="BG10" s="209">
        <f>IF(ISNUMBER((AY10+AZ10)/BA10),(AY10+AZ10)/BA10," - ")</f>
        <v>2.53125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513</v>
      </c>
      <c r="J11" s="196">
        <v>339</v>
      </c>
      <c r="K11" s="196">
        <v>330</v>
      </c>
      <c r="L11" s="196">
        <v>522</v>
      </c>
      <c r="M11" s="196">
        <v>164</v>
      </c>
      <c r="N11" s="196">
        <v>126</v>
      </c>
      <c r="O11" s="194">
        <v>63</v>
      </c>
      <c r="P11" s="196">
        <v>54</v>
      </c>
      <c r="Q11" s="196">
        <v>100</v>
      </c>
      <c r="R11" s="196">
        <v>373</v>
      </c>
      <c r="S11" s="196">
        <v>632</v>
      </c>
      <c r="T11" s="196">
        <v>327</v>
      </c>
      <c r="U11" s="196">
        <v>334</v>
      </c>
      <c r="V11" s="196">
        <v>623</v>
      </c>
      <c r="W11" s="196">
        <v>165</v>
      </c>
      <c r="X11" s="202">
        <v>126</v>
      </c>
      <c r="Y11" s="204">
        <v>40</v>
      </c>
      <c r="Z11" s="194">
        <v>30</v>
      </c>
      <c r="AA11" s="194">
        <v>37</v>
      </c>
      <c r="AB11" s="194">
        <v>33</v>
      </c>
      <c r="AC11" s="196">
        <v>0</v>
      </c>
      <c r="AD11" s="196">
        <v>0</v>
      </c>
      <c r="AE11" s="196">
        <v>0</v>
      </c>
      <c r="AF11" s="202">
        <v>0</v>
      </c>
      <c r="AG11" s="215">
        <v>31</v>
      </c>
      <c r="AH11" s="196">
        <v>27</v>
      </c>
      <c r="AI11" s="196">
        <v>38</v>
      </c>
      <c r="AJ11" s="216">
        <v>20</v>
      </c>
      <c r="AK11" s="195">
        <v>0</v>
      </c>
      <c r="AL11" s="196">
        <v>0</v>
      </c>
      <c r="AM11" s="196">
        <v>0</v>
      </c>
      <c r="AN11" s="202">
        <v>0</v>
      </c>
      <c r="AO11" s="283">
        <v>1</v>
      </c>
      <c r="AP11" s="168">
        <v>1</v>
      </c>
      <c r="AQ11" s="168">
        <v>1</v>
      </c>
      <c r="AR11" s="167">
        <v>1</v>
      </c>
      <c r="AS11" s="381" t="s">
        <v>1068</v>
      </c>
      <c r="AT11" s="216"/>
      <c r="AU11" s="215"/>
      <c r="AV11" s="216"/>
      <c r="AW11" s="215"/>
      <c r="AX11" s="216"/>
      <c r="AY11" s="136">
        <f t="shared" ref="AY11:BB12" si="1">IF(ISNUMBER(IF(J_V="SI",S11,S11+AG11)),IF(J_V="SI",S11,S11+AG11)," - ")</f>
        <v>663</v>
      </c>
      <c r="AZ11" s="137">
        <f t="shared" si="1"/>
        <v>354</v>
      </c>
      <c r="BA11" s="137">
        <f t="shared" si="1"/>
        <v>372</v>
      </c>
      <c r="BB11" s="137">
        <f t="shared" si="1"/>
        <v>643</v>
      </c>
      <c r="BC11" s="135">
        <f>IF(ISNUMBER(X11),X11," - ")</f>
        <v>126</v>
      </c>
      <c r="BD11" s="136">
        <f t="shared" ref="BD11:BD13" si="2">IF(ISNUMBER(BA11/AZ11),BA11/AZ11," - ")</f>
        <v>1.0508474576271187</v>
      </c>
      <c r="BE11" s="137">
        <f t="shared" ref="BE11:BE13" si="3">IF(ISNUMBER(BB11/BA11),BB11/BA11, " - ")</f>
        <v>1.728494623655914</v>
      </c>
      <c r="BF11" s="137">
        <f t="shared" ref="BF11:BF13" si="4">IF(ISNUMBER(BC11/BA11),BC11/BA11, " - ")</f>
        <v>0.33870967741935482</v>
      </c>
      <c r="BG11" s="209">
        <f t="shared" ref="BG11:BG13" si="5">IF(ISNUMBER((AY11+AZ11)/BA11),(AY11+AZ11)/BA11," - ")</f>
        <v>2.7338709677419355</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10</v>
      </c>
      <c r="J12" s="196">
        <v>1</v>
      </c>
      <c r="K12" s="196">
        <v>4</v>
      </c>
      <c r="L12" s="196">
        <v>7</v>
      </c>
      <c r="M12" s="196">
        <v>0</v>
      </c>
      <c r="N12" s="196">
        <v>1</v>
      </c>
      <c r="O12" s="194">
        <v>8</v>
      </c>
      <c r="P12" s="196">
        <v>2</v>
      </c>
      <c r="Q12" s="196">
        <v>9</v>
      </c>
      <c r="R12" s="196">
        <v>93</v>
      </c>
      <c r="S12" s="196">
        <v>10</v>
      </c>
      <c r="T12" s="196">
        <v>8</v>
      </c>
      <c r="U12" s="196">
        <v>3</v>
      </c>
      <c r="V12" s="196">
        <v>15</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1069</v>
      </c>
      <c r="AT12" s="216"/>
      <c r="AU12" s="215"/>
      <c r="AV12" s="216"/>
      <c r="AW12" s="215"/>
      <c r="AX12" s="216"/>
      <c r="AY12" s="136">
        <f t="shared" si="1"/>
        <v>10</v>
      </c>
      <c r="AZ12" s="137">
        <f t="shared" si="1"/>
        <v>8</v>
      </c>
      <c r="BA12" s="137">
        <f t="shared" si="1"/>
        <v>3</v>
      </c>
      <c r="BB12" s="137">
        <f t="shared" si="1"/>
        <v>15</v>
      </c>
      <c r="BC12" s="135">
        <f>IF(ISNUMBER(X12),X12," - ")</f>
        <v>0</v>
      </c>
      <c r="BD12" s="136">
        <f t="shared" si="2"/>
        <v>0.375</v>
      </c>
      <c r="BE12" s="137">
        <f t="shared" si="3"/>
        <v>5</v>
      </c>
      <c r="BF12" s="137">
        <f t="shared" si="4"/>
        <v>0</v>
      </c>
      <c r="BG12" s="209">
        <f t="shared" si="5"/>
        <v>6</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3908</v>
      </c>
      <c r="J14" s="197">
        <f t="shared" si="7"/>
        <v>2602</v>
      </c>
      <c r="K14" s="197">
        <f t="shared" si="7"/>
        <v>2435</v>
      </c>
      <c r="L14" s="197">
        <f t="shared" si="7"/>
        <v>4073</v>
      </c>
      <c r="M14" s="197">
        <f t="shared" si="7"/>
        <v>634</v>
      </c>
      <c r="N14" s="197">
        <f t="shared" si="7"/>
        <v>926</v>
      </c>
      <c r="O14" s="197">
        <f t="shared" si="7"/>
        <v>1255</v>
      </c>
      <c r="P14" s="197">
        <f t="shared" si="7"/>
        <v>631</v>
      </c>
      <c r="Q14" s="197">
        <f t="shared" si="7"/>
        <v>675</v>
      </c>
      <c r="R14" s="197">
        <f t="shared" si="7"/>
        <v>7647</v>
      </c>
      <c r="S14" s="197">
        <f t="shared" si="7"/>
        <v>4639</v>
      </c>
      <c r="T14" s="197">
        <f t="shared" si="7"/>
        <v>2404</v>
      </c>
      <c r="U14" s="197">
        <f t="shared" si="7"/>
        <v>2789</v>
      </c>
      <c r="V14" s="197">
        <f t="shared" si="7"/>
        <v>4086</v>
      </c>
      <c r="W14" s="197">
        <f t="shared" si="7"/>
        <v>701</v>
      </c>
      <c r="X14" s="197">
        <f t="shared" si="7"/>
        <v>1183</v>
      </c>
      <c r="Y14" s="197">
        <f t="shared" si="7"/>
        <v>187</v>
      </c>
      <c r="Z14" s="197">
        <f t="shared" si="7"/>
        <v>148</v>
      </c>
      <c r="AA14" s="197">
        <f t="shared" si="7"/>
        <v>196</v>
      </c>
      <c r="AB14" s="197">
        <f t="shared" si="7"/>
        <v>139</v>
      </c>
      <c r="AC14" s="197">
        <f t="shared" si="7"/>
        <v>0</v>
      </c>
      <c r="AD14" s="197">
        <f t="shared" si="7"/>
        <v>0</v>
      </c>
      <c r="AE14" s="197">
        <f t="shared" si="7"/>
        <v>0</v>
      </c>
      <c r="AF14" s="197">
        <f>SUBTOTAL(9,AF9:AF13)</f>
        <v>0</v>
      </c>
      <c r="AG14" s="197">
        <f t="shared" ref="AG14:AT14" si="8">SUBTOTAL(9,AG8:AG13)</f>
        <v>194</v>
      </c>
      <c r="AH14" s="197">
        <f t="shared" si="8"/>
        <v>196</v>
      </c>
      <c r="AI14" s="197">
        <f t="shared" si="8"/>
        <v>230</v>
      </c>
      <c r="AJ14" s="197">
        <f t="shared" si="8"/>
        <v>160</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4833</v>
      </c>
      <c r="AZ14" s="197">
        <f>SUBTOTAL(9,AZ8:AZ13)</f>
        <v>2600</v>
      </c>
      <c r="BA14" s="197">
        <f>SUBTOTAL(9,BA8:BA13)</f>
        <v>3019</v>
      </c>
      <c r="BB14" s="197">
        <f>SUBTOTAL(9,BB8:BB13)</f>
        <v>4246</v>
      </c>
      <c r="BC14" s="197">
        <f>SUBTOTAL(9,BC8:BC13)</f>
        <v>1182</v>
      </c>
      <c r="BD14" s="219">
        <f>IF(ISNUMBER(BA14/AZ14),BA14/AZ14," - ")</f>
        <v>1.1611538461538462</v>
      </c>
      <c r="BE14" s="220">
        <f>IF(ISNUMBER(BB14/BA14),BB14/BA14, " - ")</f>
        <v>1.4064259688638623</v>
      </c>
      <c r="BF14" s="220">
        <f>IF(ISNUMBER(BC14/BA14),BC14/BA14, " - ")</f>
        <v>0.39152037098376946</v>
      </c>
      <c r="BG14" s="221">
        <f>IF(ISNUMBER((AY14+AZ14)/BA14),(AY14+AZ14)/BA14," - ")</f>
        <v>2.462073534282875</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1224</v>
      </c>
      <c r="J16" s="196">
        <v>2712</v>
      </c>
      <c r="K16" s="196">
        <v>2712</v>
      </c>
      <c r="L16" s="196">
        <v>1251</v>
      </c>
      <c r="M16" s="196">
        <v>373</v>
      </c>
      <c r="N16" s="196">
        <v>1668</v>
      </c>
      <c r="O16" s="194">
        <v>43</v>
      </c>
      <c r="P16" s="196">
        <v>180</v>
      </c>
      <c r="Q16" s="196">
        <v>207</v>
      </c>
      <c r="R16" s="196">
        <v>208</v>
      </c>
      <c r="S16" s="196">
        <v>1477</v>
      </c>
      <c r="T16" s="196">
        <v>2625</v>
      </c>
      <c r="U16" s="196">
        <v>2838</v>
      </c>
      <c r="V16" s="196">
        <v>1297</v>
      </c>
      <c r="W16" s="196">
        <v>414</v>
      </c>
      <c r="X16" s="202">
        <v>1640</v>
      </c>
      <c r="Y16" s="215">
        <v>0</v>
      </c>
      <c r="Z16" s="196">
        <v>0</v>
      </c>
      <c r="AA16" s="196">
        <v>0</v>
      </c>
      <c r="AB16" s="196">
        <v>0</v>
      </c>
      <c r="AC16" s="196">
        <v>3</v>
      </c>
      <c r="AD16" s="196">
        <v>238</v>
      </c>
      <c r="AE16" s="196">
        <v>239</v>
      </c>
      <c r="AF16" s="202">
        <v>2</v>
      </c>
      <c r="AG16" s="215">
        <v>0</v>
      </c>
      <c r="AH16" s="196">
        <v>0</v>
      </c>
      <c r="AI16" s="196">
        <v>0</v>
      </c>
      <c r="AJ16" s="216">
        <v>0</v>
      </c>
      <c r="AK16" s="195">
        <v>3</v>
      </c>
      <c r="AL16" s="196">
        <v>256</v>
      </c>
      <c r="AM16" s="196">
        <v>256</v>
      </c>
      <c r="AN16" s="202">
        <v>3</v>
      </c>
      <c r="AO16" s="283">
        <v>4</v>
      </c>
      <c r="AP16" s="168">
        <v>4</v>
      </c>
      <c r="AQ16" s="168">
        <v>4</v>
      </c>
      <c r="AR16" s="168">
        <v>4</v>
      </c>
      <c r="AS16" s="381" t="s">
        <v>697</v>
      </c>
      <c r="AT16" s="216" t="s">
        <v>420</v>
      </c>
      <c r="AU16" s="215"/>
      <c r="AV16" s="216"/>
      <c r="AW16" s="215"/>
      <c r="AX16" s="216"/>
      <c r="AY16" s="138">
        <f t="shared" ref="AY16:BB17" si="10">IF(ISNUMBER(IF(D_I="SI",S16,S16+AK16)),IF(D_I="SI",S16,S16+AK16)," - ")</f>
        <v>1477</v>
      </c>
      <c r="AZ16" s="139">
        <f t="shared" si="10"/>
        <v>2625</v>
      </c>
      <c r="BA16" s="139">
        <f t="shared" si="10"/>
        <v>2838</v>
      </c>
      <c r="BB16" s="139">
        <f t="shared" si="10"/>
        <v>1297</v>
      </c>
      <c r="BC16" s="135">
        <f>IF(ISNUMBER(W16),W16," - ")</f>
        <v>414</v>
      </c>
      <c r="BD16" s="136">
        <f>IF(ISNUMBER(BA16/AZ16),BA16/AZ16," - ")</f>
        <v>1.0811428571428572</v>
      </c>
      <c r="BE16" s="137">
        <f>IF(ISNUMBER(BB16/BA16),BB16/BA16, " - ")</f>
        <v>0.45701198026779422</v>
      </c>
      <c r="BF16" s="137">
        <f>IF(ISNUMBER(BC16/BA16),BC16/BA16, " - ")</f>
        <v>0.14587737843551796</v>
      </c>
      <c r="BG16" s="209">
        <f t="shared" ref="BG16:BG22" si="11">IF(ISNUMBER((AY16+AZ16)/BA16),(AY16+AZ16)/BA16," - ")</f>
        <v>1.4453840732910501</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66</v>
      </c>
      <c r="J18" s="196">
        <v>253</v>
      </c>
      <c r="K18" s="196">
        <v>279</v>
      </c>
      <c r="L18" s="196">
        <v>40</v>
      </c>
      <c r="M18" s="196">
        <v>51</v>
      </c>
      <c r="N18" s="196">
        <v>174</v>
      </c>
      <c r="O18" s="196">
        <v>8</v>
      </c>
      <c r="P18" s="196">
        <v>5</v>
      </c>
      <c r="Q18" s="196">
        <v>8</v>
      </c>
      <c r="R18" s="196">
        <v>17</v>
      </c>
      <c r="S18" s="196">
        <v>44</v>
      </c>
      <c r="T18" s="196">
        <v>227</v>
      </c>
      <c r="U18" s="196">
        <v>226</v>
      </c>
      <c r="V18" s="196">
        <v>45</v>
      </c>
      <c r="W18" s="196">
        <v>36</v>
      </c>
      <c r="X18" s="202">
        <v>136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1060</v>
      </c>
      <c r="AT18" s="223"/>
      <c r="AU18" s="213"/>
      <c r="AV18" s="223"/>
      <c r="AW18" s="213"/>
      <c r="AX18" s="223"/>
      <c r="AY18" s="138">
        <f t="shared" ref="AY18:BB19" si="15">IF(ISNUMBER(S18),S18," - ")</f>
        <v>44</v>
      </c>
      <c r="AZ18" s="139">
        <f t="shared" si="15"/>
        <v>227</v>
      </c>
      <c r="BA18" s="139">
        <f t="shared" si="15"/>
        <v>226</v>
      </c>
      <c r="BB18" s="139">
        <f t="shared" si="15"/>
        <v>45</v>
      </c>
      <c r="BC18" s="135">
        <f>IF(ISNUMBER(W18),W18," - ")</f>
        <v>36</v>
      </c>
      <c r="BD18" s="136">
        <f>IF(ISNUMBER(BA18/AZ18),BA18/AZ18," - ")</f>
        <v>0.99559471365638763</v>
      </c>
      <c r="BE18" s="137">
        <f>IF(ISNUMBER(BB18/BA18),BB18/BA18, " - ")</f>
        <v>0.19911504424778761</v>
      </c>
      <c r="BF18" s="137">
        <f>IF(ISNUMBER(BC18/BA18),BC18/BA18, " - ")</f>
        <v>0.15929203539823009</v>
      </c>
      <c r="BG18" s="209">
        <f>IF(ISNUMBER((AY18+AZ18)/BA18),(AY18+AZ18)/BA18," - ")</f>
        <v>1.1991150442477876</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1290</v>
      </c>
      <c r="J23" s="197">
        <f t="shared" si="21"/>
        <v>2965</v>
      </c>
      <c r="K23" s="197">
        <f t="shared" si="21"/>
        <v>2991</v>
      </c>
      <c r="L23" s="197">
        <f t="shared" si="21"/>
        <v>1291</v>
      </c>
      <c r="M23" s="197">
        <f t="shared" si="21"/>
        <v>424</v>
      </c>
      <c r="N23" s="197">
        <f t="shared" si="21"/>
        <v>1842</v>
      </c>
      <c r="O23" s="197">
        <f t="shared" si="21"/>
        <v>51</v>
      </c>
      <c r="P23" s="197">
        <f t="shared" si="21"/>
        <v>185</v>
      </c>
      <c r="Q23" s="197">
        <f t="shared" si="21"/>
        <v>215</v>
      </c>
      <c r="R23" s="197">
        <f t="shared" si="21"/>
        <v>225</v>
      </c>
      <c r="S23" s="197">
        <f t="shared" si="21"/>
        <v>1521</v>
      </c>
      <c r="T23" s="197">
        <f t="shared" si="21"/>
        <v>2852</v>
      </c>
      <c r="U23" s="197">
        <f t="shared" si="21"/>
        <v>3064</v>
      </c>
      <c r="V23" s="197">
        <f t="shared" si="21"/>
        <v>1342</v>
      </c>
      <c r="W23" s="197">
        <f t="shared" si="21"/>
        <v>450</v>
      </c>
      <c r="X23" s="197">
        <f t="shared" si="21"/>
        <v>1776</v>
      </c>
      <c r="Y23" s="197">
        <f t="shared" si="21"/>
        <v>0</v>
      </c>
      <c r="Z23" s="197">
        <f t="shared" si="21"/>
        <v>0</v>
      </c>
      <c r="AA23" s="197">
        <f t="shared" si="21"/>
        <v>0</v>
      </c>
      <c r="AB23" s="197">
        <f t="shared" si="21"/>
        <v>0</v>
      </c>
      <c r="AC23" s="197">
        <f t="shared" si="21"/>
        <v>3</v>
      </c>
      <c r="AD23" s="197">
        <f t="shared" si="21"/>
        <v>238</v>
      </c>
      <c r="AE23" s="197">
        <f t="shared" si="21"/>
        <v>239</v>
      </c>
      <c r="AF23" s="197">
        <f t="shared" si="21"/>
        <v>2</v>
      </c>
      <c r="AG23" s="197">
        <f t="shared" si="21"/>
        <v>0</v>
      </c>
      <c r="AH23" s="197">
        <f t="shared" si="21"/>
        <v>0</v>
      </c>
      <c r="AI23" s="197">
        <f t="shared" si="21"/>
        <v>0</v>
      </c>
      <c r="AJ23" s="197">
        <f t="shared" si="21"/>
        <v>0</v>
      </c>
      <c r="AK23" s="197">
        <f t="shared" si="21"/>
        <v>3</v>
      </c>
      <c r="AL23" s="197">
        <f t="shared" si="21"/>
        <v>256</v>
      </c>
      <c r="AM23" s="197">
        <f t="shared" si="21"/>
        <v>256</v>
      </c>
      <c r="AN23" s="197">
        <f t="shared" si="21"/>
        <v>3</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1521</v>
      </c>
      <c r="AZ23" s="197">
        <f>SUBTOTAL(9,AZ15:AZ22)</f>
        <v>2852</v>
      </c>
      <c r="BA23" s="197">
        <f>SUBTOTAL(9,BA15:BA22)</f>
        <v>3064</v>
      </c>
      <c r="BB23" s="197">
        <f>SUBTOTAL(9,BB15:BB22)</f>
        <v>1342</v>
      </c>
      <c r="BC23" s="197">
        <f>SUBTOTAL(9,BC15:BC22)</f>
        <v>450</v>
      </c>
      <c r="BD23" s="219">
        <f>IF(ISNUMBER(BA23/AZ23),BA23/AZ23," - ")</f>
        <v>1.0743338008415146</v>
      </c>
      <c r="BE23" s="220">
        <f>IF(ISNUMBER(BB23/BA23),BB23/BA23, " - ")</f>
        <v>0.43798955613577023</v>
      </c>
      <c r="BF23" s="220">
        <f>IF(ISNUMBER(BC23/BA23),BC23/BA23, " - ")</f>
        <v>0.14686684073107051</v>
      </c>
      <c r="BG23" s="221">
        <f>IF(ISNUMBER((AY23+AZ23)/BA23),(AY23+AZ23)/BA23," - ")</f>
        <v>1.4272193211488251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5198</v>
      </c>
      <c r="J31" s="144">
        <f t="shared" si="36"/>
        <v>5567</v>
      </c>
      <c r="K31" s="144">
        <f t="shared" si="36"/>
        <v>5426</v>
      </c>
      <c r="L31" s="144">
        <f t="shared" si="36"/>
        <v>5364</v>
      </c>
      <c r="M31" s="144">
        <f t="shared" si="36"/>
        <v>1058</v>
      </c>
      <c r="N31" s="144">
        <f t="shared" si="36"/>
        <v>2768</v>
      </c>
      <c r="O31" s="144">
        <f t="shared" si="36"/>
        <v>1306</v>
      </c>
      <c r="P31" s="144">
        <f t="shared" si="36"/>
        <v>816</v>
      </c>
      <c r="Q31" s="144">
        <f t="shared" si="36"/>
        <v>890</v>
      </c>
      <c r="R31" s="144">
        <f t="shared" si="36"/>
        <v>7872</v>
      </c>
      <c r="S31" s="144">
        <f t="shared" si="36"/>
        <v>6160</v>
      </c>
      <c r="T31" s="144">
        <f t="shared" si="36"/>
        <v>5256</v>
      </c>
      <c r="U31" s="144">
        <f t="shared" si="36"/>
        <v>5853</v>
      </c>
      <c r="V31" s="144">
        <f t="shared" si="36"/>
        <v>5428</v>
      </c>
      <c r="W31" s="144">
        <f t="shared" si="36"/>
        <v>1151</v>
      </c>
      <c r="X31" s="144">
        <f t="shared" si="36"/>
        <v>2959</v>
      </c>
      <c r="Y31" s="144">
        <f t="shared" si="36"/>
        <v>187</v>
      </c>
      <c r="Z31" s="144">
        <f t="shared" si="36"/>
        <v>148</v>
      </c>
      <c r="AA31" s="144">
        <f t="shared" si="36"/>
        <v>196</v>
      </c>
      <c r="AB31" s="144">
        <f t="shared" si="36"/>
        <v>139</v>
      </c>
      <c r="AC31" s="144">
        <f t="shared" si="36"/>
        <v>3</v>
      </c>
      <c r="AD31" s="144">
        <f t="shared" si="36"/>
        <v>238</v>
      </c>
      <c r="AE31" s="144">
        <f t="shared" si="36"/>
        <v>239</v>
      </c>
      <c r="AF31" s="144">
        <f t="shared" si="36"/>
        <v>2</v>
      </c>
      <c r="AG31" s="144">
        <f t="shared" si="36"/>
        <v>194</v>
      </c>
      <c r="AH31" s="144">
        <f t="shared" si="36"/>
        <v>196</v>
      </c>
      <c r="AI31" s="144">
        <f t="shared" si="36"/>
        <v>230</v>
      </c>
      <c r="AJ31" s="144">
        <f t="shared" si="36"/>
        <v>160</v>
      </c>
      <c r="AK31" s="144">
        <f t="shared" si="36"/>
        <v>3</v>
      </c>
      <c r="AL31" s="144">
        <f t="shared" si="36"/>
        <v>256</v>
      </c>
      <c r="AM31" s="144">
        <f t="shared" si="36"/>
        <v>256</v>
      </c>
      <c r="AN31" s="224">
        <f t="shared" si="36"/>
        <v>3</v>
      </c>
      <c r="AO31" s="225">
        <v>12</v>
      </c>
      <c r="AP31" s="225">
        <v>12</v>
      </c>
      <c r="AQ31" s="225">
        <v>12</v>
      </c>
      <c r="AR31" s="225">
        <v>12</v>
      </c>
      <c r="AS31" s="166">
        <f t="shared" si="36"/>
        <v>0</v>
      </c>
      <c r="AT31" s="166">
        <f t="shared" si="36"/>
        <v>0</v>
      </c>
      <c r="AU31" s="225"/>
      <c r="AV31" s="226"/>
      <c r="AW31" s="225"/>
      <c r="AX31" s="226"/>
      <c r="AY31" s="143">
        <f>SUBTOTAL(9,AY9:AY30)</f>
        <v>6354</v>
      </c>
      <c r="AZ31" s="144">
        <f>SUBTOTAL(9,AZ9:AZ30)</f>
        <v>5452</v>
      </c>
      <c r="BA31" s="144">
        <f>SUBTOTAL(9,BA9:BA30)</f>
        <v>6083</v>
      </c>
      <c r="BB31" s="144">
        <f>SUBTOTAL(9,BB9:BB30)</f>
        <v>5588</v>
      </c>
      <c r="BC31" s="145">
        <f>SUBTOTAL(9,BC9:BC30)</f>
        <v>1632</v>
      </c>
      <c r="BD31" s="227">
        <f>IF(ISNUMBER(BA31/AZ31),BA31/AZ31," - ")</f>
        <v>1.1157373440939105</v>
      </c>
      <c r="BE31" s="224">
        <f>IF(ISNUMBER(BB31/BA31),BB31/BA31, " - ")</f>
        <v>0.91862567811934903</v>
      </c>
      <c r="BF31" s="224">
        <f>IF(ISNUMBER(BC31/BA31),BC31/BA31, " - ")</f>
        <v>0.26828867335196449</v>
      </c>
      <c r="BG31" s="145">
        <f>IF(ISNUMBER((AY31+AZ31)/BA31),(AY31+AZ31)/BA31," - ")</f>
        <v>1.9408186749958902</v>
      </c>
      <c r="BH31" s="225">
        <f>SUBTOTAL(9,BH9:BH30)</f>
        <v>13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FkGgiC5/49pI7eNQSBtTVFXqb+SyKACL0tsMmUGNfyvSx8RESd6P3h12yb3jPMFbHYLEsnoFIMxZjuEXBQcQ==" saltValue="VTZPpwGHKvoxdszwaQUT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638</v>
      </c>
      <c r="DM5" s="1848" t="s">
        <v>709</v>
      </c>
      <c r="DN5" s="1848" t="s">
        <v>710</v>
      </c>
      <c r="DO5" s="1848" t="s">
        <v>711</v>
      </c>
      <c r="DP5" s="1848" t="s">
        <v>712</v>
      </c>
      <c r="DQ5" s="1848" t="s">
        <v>713</v>
      </c>
      <c r="DR5" s="1848" t="s">
        <v>714</v>
      </c>
      <c r="DS5" s="1848" t="s">
        <v>715</v>
      </c>
      <c r="DT5" s="1848" t="s">
        <v>716</v>
      </c>
      <c r="DU5" s="1861" t="s">
        <v>717</v>
      </c>
      <c r="DV5" s="1861" t="s">
        <v>718</v>
      </c>
      <c r="DW5" s="1858" t="s">
        <v>719</v>
      </c>
      <c r="DX5" s="1848" t="s">
        <v>720</v>
      </c>
      <c r="DY5" s="1855" t="s">
        <v>721</v>
      </c>
      <c r="DZ5" s="1858" t="s">
        <v>722</v>
      </c>
      <c r="EA5" s="1855" t="s">
        <v>723</v>
      </c>
      <c r="EB5" s="1852" t="s">
        <v>783</v>
      </c>
      <c r="EC5" s="1852" t="s">
        <v>820</v>
      </c>
      <c r="ED5" s="1852" t="s">
        <v>785</v>
      </c>
      <c r="EE5" s="1852" t="s">
        <v>825</v>
      </c>
      <c r="EF5" s="1852" t="s">
        <v>826</v>
      </c>
      <c r="EG5" s="1855" t="s">
        <v>827</v>
      </c>
      <c r="EH5" s="1855" t="s">
        <v>828</v>
      </c>
      <c r="EI5" s="1855" t="s">
        <v>787</v>
      </c>
      <c r="EJ5" s="1855" t="s">
        <v>788</v>
      </c>
      <c r="EK5" s="1879" t="s">
        <v>876</v>
      </c>
      <c r="EL5" s="1870" t="s">
        <v>894</v>
      </c>
      <c r="EM5" s="1871"/>
      <c r="EN5" s="1872"/>
      <c r="EO5" s="1768" t="s">
        <v>994</v>
      </c>
      <c r="EP5" s="1768" t="s">
        <v>996</v>
      </c>
      <c r="EQ5" s="1768" t="s">
        <v>997</v>
      </c>
      <c r="ER5" s="1768" t="s">
        <v>1002</v>
      </c>
      <c r="ES5" s="1768" t="s">
        <v>1012</v>
      </c>
      <c r="ET5" s="1864" t="s">
        <v>1089</v>
      </c>
      <c r="EU5" s="1864" t="s">
        <v>1090</v>
      </c>
      <c r="EV5" s="1771" t="s">
        <v>1111</v>
      </c>
      <c r="EW5" s="1855" t="s">
        <v>1114</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993</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895</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1091</v>
      </c>
      <c r="EU8" s="1519" t="s">
        <v>1092</v>
      </c>
      <c r="EV8" s="1519" t="s">
        <v>1100</v>
      </c>
      <c r="EW8" s="532" t="s">
        <v>1113</v>
      </c>
      <c r="EX8" s="532" t="s">
        <v>1145</v>
      </c>
      <c r="EY8" s="532" t="s">
        <v>1158</v>
      </c>
    </row>
    <row r="9" spans="1:155" s="788" customFormat="1" ht="14.25" customHeight="1">
      <c r="A9" s="823" t="s">
        <v>72</v>
      </c>
      <c r="B9" s="770" t="s">
        <v>515</v>
      </c>
      <c r="C9" s="771" t="s">
        <v>8</v>
      </c>
      <c r="D9" s="772" t="s">
        <v>25</v>
      </c>
      <c r="E9" s="770" t="s">
        <v>26</v>
      </c>
      <c r="F9" s="770">
        <v>32</v>
      </c>
      <c r="G9" s="773"/>
      <c r="H9" s="824" t="s">
        <v>316</v>
      </c>
      <c r="I9" s="825" t="s">
        <v>1149</v>
      </c>
      <c r="J9" s="775" t="s">
        <v>1151</v>
      </c>
      <c r="K9" s="775" t="s">
        <v>1153</v>
      </c>
      <c r="L9" s="775" t="s">
        <v>1155</v>
      </c>
      <c r="M9" s="775" t="s">
        <v>1157</v>
      </c>
      <c r="N9" s="775" t="s">
        <v>1161</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1167</v>
      </c>
      <c r="AT9" s="832"/>
      <c r="AU9" s="831" t="s">
        <v>1077</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1174</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1134</v>
      </c>
      <c r="CR9" s="836" t="s">
        <v>641</v>
      </c>
      <c r="CS9" s="530"/>
      <c r="CT9" s="530"/>
      <c r="CU9" s="530"/>
      <c r="CV9" s="530" t="s">
        <v>663</v>
      </c>
      <c r="CW9" s="530" t="s">
        <v>528</v>
      </c>
      <c r="CX9" s="530" t="s">
        <v>450</v>
      </c>
      <c r="CY9" s="530" t="s">
        <v>572</v>
      </c>
      <c r="CZ9" s="530" t="s">
        <v>573</v>
      </c>
      <c r="DA9" s="530" t="s">
        <v>574</v>
      </c>
      <c r="DB9" s="831" t="s">
        <v>1168</v>
      </c>
      <c r="DC9" s="831" t="s">
        <v>1169</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1170</v>
      </c>
      <c r="EP9" s="1318" t="s">
        <v>1140</v>
      </c>
      <c r="EQ9" s="1318" t="s">
        <v>1141</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1074</v>
      </c>
      <c r="J11" s="350" t="s">
        <v>1071</v>
      </c>
      <c r="K11" s="350" t="s">
        <v>1127</v>
      </c>
      <c r="L11" s="350" t="s">
        <v>1080</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1072</v>
      </c>
      <c r="AT11" s="778"/>
      <c r="AU11" s="777" t="s">
        <v>1078</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1176</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1137</v>
      </c>
      <c r="CR11" s="530" t="s">
        <v>1136</v>
      </c>
      <c r="CS11" s="790"/>
      <c r="CT11" s="530"/>
      <c r="CU11" s="530"/>
      <c r="CV11" s="530" t="s">
        <v>663</v>
      </c>
      <c r="CW11" s="530" t="s">
        <v>435</v>
      </c>
      <c r="CX11" s="530" t="s">
        <v>450</v>
      </c>
      <c r="CY11" s="530" t="s">
        <v>572</v>
      </c>
      <c r="CZ11" s="530" t="s">
        <v>573</v>
      </c>
      <c r="DA11" s="530" t="s">
        <v>574</v>
      </c>
      <c r="DB11" s="363" t="s">
        <v>1162</v>
      </c>
      <c r="DC11" s="363" t="s">
        <v>1163</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1150</v>
      </c>
      <c r="J12" s="350" t="s">
        <v>1152</v>
      </c>
      <c r="K12" s="350" t="s">
        <v>1154</v>
      </c>
      <c r="L12" s="350" t="s">
        <v>1156</v>
      </c>
      <c r="M12" s="350" t="s">
        <v>1148</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1164</v>
      </c>
      <c r="AT12" s="778"/>
      <c r="AU12" s="777" t="s">
        <v>1075</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1175</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1135</v>
      </c>
      <c r="CR12" s="836"/>
      <c r="CS12" s="790"/>
      <c r="CT12" s="530"/>
      <c r="CU12" s="530"/>
      <c r="CV12" s="530" t="s">
        <v>663</v>
      </c>
      <c r="CW12" s="530" t="s">
        <v>435</v>
      </c>
      <c r="CX12" s="530" t="s">
        <v>450</v>
      </c>
      <c r="CY12" s="530" t="s">
        <v>572</v>
      </c>
      <c r="CZ12" s="530" t="s">
        <v>573</v>
      </c>
      <c r="DA12" s="530" t="s">
        <v>574</v>
      </c>
      <c r="DB12" s="831" t="s">
        <v>1165</v>
      </c>
      <c r="DC12" s="831" t="s">
        <v>1166</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1173</v>
      </c>
      <c r="EP12" s="1318" t="s">
        <v>1142</v>
      </c>
      <c r="EQ12" s="1318" t="s">
        <v>1143</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1119</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1120</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1073</v>
      </c>
      <c r="EP16" s="1317" t="s">
        <v>1076</v>
      </c>
      <c r="EQ16" s="1317" t="s">
        <v>1083</v>
      </c>
      <c r="ER16" s="1341" t="s">
        <v>1034</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1106</v>
      </c>
      <c r="EW19" s="168"/>
      <c r="EX19" s="168"/>
      <c r="EY19" s="168" t="s">
        <v>1160</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1126</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hLdJmI7y8n9OuO00M7+D2dYL6G1PoMqxQ7s/DzrbutpLgmdh2uHaNcwEY0tgZ/3IbLePQUYxLPFeKi9fOW4lw==" saltValue="iU8P8+eKYyVhwMm4WNpi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BADAJOZ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2 al 2</v>
      </c>
      <c r="D5" s="1882" t="s">
        <v>487</v>
      </c>
      <c r="E5" s="1882" t="s">
        <v>752</v>
      </c>
      <c r="F5" s="1893" t="s">
        <v>523</v>
      </c>
      <c r="G5" s="1882" t="s">
        <v>173</v>
      </c>
      <c r="H5" s="1882" t="s">
        <v>785</v>
      </c>
      <c r="I5" s="1882" t="s">
        <v>753</v>
      </c>
      <c r="J5" s="1882" t="s">
        <v>870</v>
      </c>
      <c r="K5" s="1882" t="s">
        <v>871</v>
      </c>
      <c r="L5" s="1882" t="s">
        <v>754</v>
      </c>
      <c r="M5" s="1882" t="s">
        <v>709</v>
      </c>
      <c r="N5" s="1882" t="s">
        <v>872</v>
      </c>
      <c r="O5" s="1885" t="s">
        <v>783</v>
      </c>
      <c r="P5" s="1882" t="s">
        <v>892</v>
      </c>
      <c r="Q5" s="1882" t="s">
        <v>886</v>
      </c>
      <c r="R5" s="1882" t="s">
        <v>225</v>
      </c>
      <c r="S5" s="1888" t="s">
        <v>882</v>
      </c>
      <c r="T5" s="1888" t="s">
        <v>885</v>
      </c>
      <c r="U5" s="1882" t="s">
        <v>786</v>
      </c>
      <c r="V5" s="1888" t="s">
        <v>755</v>
      </c>
      <c r="W5" s="1882" t="s">
        <v>1038</v>
      </c>
      <c r="X5" s="1882" t="s">
        <v>1039</v>
      </c>
      <c r="Y5" s="1902" t="s">
        <v>873</v>
      </c>
      <c r="Z5" s="1899" t="s">
        <v>811</v>
      </c>
      <c r="AA5" s="1917" t="s">
        <v>756</v>
      </c>
      <c r="AB5" s="1899" t="s">
        <v>757</v>
      </c>
      <c r="AC5" s="1899" t="s">
        <v>758</v>
      </c>
      <c r="AD5" s="1920" t="s">
        <v>874</v>
      </c>
      <c r="AE5" s="1920" t="s">
        <v>1066</v>
      </c>
      <c r="AF5" s="1882" t="s">
        <v>887</v>
      </c>
      <c r="AG5" s="1882" t="s">
        <v>710</v>
      </c>
      <c r="AH5" s="1882" t="s">
        <v>875</v>
      </c>
      <c r="AI5" s="1882" t="s">
        <v>236</v>
      </c>
      <c r="AJ5" s="1882" t="s">
        <v>942</v>
      </c>
      <c r="AK5" s="1882" t="s">
        <v>711</v>
      </c>
      <c r="AL5" s="1882" t="s">
        <v>712</v>
      </c>
      <c r="AM5" s="1882" t="s">
        <v>893</v>
      </c>
      <c r="AN5" s="1882" t="s">
        <v>713</v>
      </c>
      <c r="AO5" s="1882" t="s">
        <v>714</v>
      </c>
      <c r="AP5" s="1882" t="s">
        <v>715</v>
      </c>
      <c r="AQ5" s="1882" t="s">
        <v>716</v>
      </c>
      <c r="AR5" s="1882" t="s">
        <v>876</v>
      </c>
      <c r="AS5" s="1882" t="s">
        <v>239</v>
      </c>
      <c r="AT5" s="1905" t="s">
        <v>237</v>
      </c>
      <c r="AU5" s="1882" t="s">
        <v>888</v>
      </c>
      <c r="AV5" s="1908" t="s">
        <v>889</v>
      </c>
      <c r="AW5" s="1911" t="s">
        <v>718</v>
      </c>
      <c r="AX5" s="1882" t="s">
        <v>719</v>
      </c>
      <c r="AY5" s="1882" t="s">
        <v>809</v>
      </c>
      <c r="AZ5" s="1914" t="s">
        <v>810</v>
      </c>
      <c r="BA5" s="1882" t="s">
        <v>760</v>
      </c>
      <c r="BB5" s="1908" t="s">
        <v>761</v>
      </c>
      <c r="BC5" s="1911" t="s">
        <v>240</v>
      </c>
      <c r="BD5" s="1882" t="s">
        <v>762</v>
      </c>
      <c r="BE5" s="1882" t="s">
        <v>318</v>
      </c>
      <c r="BF5" s="1882" t="s">
        <v>319</v>
      </c>
      <c r="BG5" s="1882" t="s">
        <v>320</v>
      </c>
      <c r="BH5" s="1882" t="s">
        <v>763</v>
      </c>
      <c r="BI5" s="1882" t="s">
        <v>321</v>
      </c>
      <c r="BJ5" s="1882" t="s">
        <v>764</v>
      </c>
      <c r="BK5" s="1882" t="s">
        <v>779</v>
      </c>
      <c r="BL5" s="1882" t="s">
        <v>765</v>
      </c>
      <c r="BM5" s="1882" t="s">
        <v>766</v>
      </c>
      <c r="BN5" s="1882" t="s">
        <v>794</v>
      </c>
      <c r="BO5" s="1882" t="s">
        <v>787</v>
      </c>
      <c r="BP5" s="1882" t="s">
        <v>1112</v>
      </c>
      <c r="BQ5" s="1882" t="s">
        <v>1116</v>
      </c>
      <c r="BR5" s="1882" t="s">
        <v>1118</v>
      </c>
      <c r="BS5" s="1882" t="s">
        <v>788</v>
      </c>
      <c r="BT5" s="1882" t="s">
        <v>767</v>
      </c>
      <c r="BU5" s="1882" t="s">
        <v>717</v>
      </c>
      <c r="BV5" s="1896" t="s">
        <v>1040</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317</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118</v>
      </c>
      <c r="O9" s="549"/>
      <c r="P9" s="549"/>
      <c r="Q9" s="547">
        <f>IF(ISNUMBER(Datos!P9),Datos!P9,0)</f>
        <v>566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554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106</v>
      </c>
      <c r="AI9" s="549" t="str">
        <f>IF(ISNUMBER(Datos!CD9),Datos!CD9,"-")</f>
        <v>-</v>
      </c>
      <c r="AJ9" s="549" t="str">
        <f>IF(ISNUMBER(Datos!EN9),Datos!EN9," - ")</f>
        <v xml:space="preserve"> - </v>
      </c>
      <c r="AK9" s="549"/>
      <c r="AL9" s="550"/>
      <c r="AM9" s="766">
        <f>IF(ISNUMBER(Datos!R9),Datos!R9," - ")</f>
        <v>7115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454</v>
      </c>
      <c r="BD9" s="693">
        <f>IF(ISNUMBER(Datos!N9),Datos!N9," - ")</f>
        <v>787</v>
      </c>
      <c r="BE9" s="693" t="str">
        <f>IF(ISNUMBER(Datos!BW9),Datos!BW9," - ")</f>
        <v xml:space="preserve"> - </v>
      </c>
      <c r="BF9" s="762" t="str">
        <f>IF(ISNUMBER(Datos!BX9),Datos!BX9," - ")</f>
        <v xml:space="preserve"> - </v>
      </c>
      <c r="BG9" s="763">
        <f>IF(ISNUMBER(IF(J_V="SI",Datos!K9/Datos!J9,(Datos!K9+Datos!AA9)/(Datos!J9+Datos!Z9))),IF(J_V="SI",Datos!K9/Datos!J9,(Datos!K9+Datos!AA9)/(Datos!J9+Datos!Z9))," - ")</f>
        <v>0.95081266039349877</v>
      </c>
      <c r="BH9" s="764">
        <f>IF(ISNUMBER(((IF(J_V="SI",Datos!L9/Datos!K9,(Datos!L9+Datos!AB9)/(Datos!K9+Datos!AA9)))*11)/factor_trimestre),((IF(J_V="SI",Datos!L9/Datos!K9,(Datos!L9+Datos!AB9)/(Datos!K9+Datos!AA9)))*11)/factor_trimestre," - ")</f>
        <v>4.8515519568151149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1.6894270026749261E-3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317</v>
      </c>
      <c r="C10" s="747" t="str">
        <f>Datos!A10</f>
        <v>Jdos. Violencia contra la mujer</v>
      </c>
      <c r="D10" s="601"/>
      <c r="E10" s="764">
        <f>IF(ISNUMBER(Datos!AQ10),Datos!AQ10," - ")</f>
        <v>1</v>
      </c>
      <c r="F10" s="552">
        <f>IF(ISNUMBER(Datos!L10+Datos!K10-Datos!J10),Datos!L10+Datos!K10-Datos!J10," - ")</f>
        <v>50</v>
      </c>
      <c r="G10" s="543">
        <f>IF(ISNUMBER(Datos!I10),Datos!I10," - ")</f>
        <v>50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37</v>
      </c>
      <c r="AC10" s="547">
        <f>IF(ISNUMBER(Datos!Q10),Datos!Q10," - ")</f>
        <v>12</v>
      </c>
      <c r="AD10" s="549"/>
      <c r="AE10" s="563"/>
      <c r="AF10" s="551">
        <f>IF(ISNUMBER(Datos!L10),Datos!L10,"-")</f>
        <v>55</v>
      </c>
      <c r="AG10" s="549"/>
      <c r="AH10" s="549"/>
      <c r="AI10" s="549"/>
      <c r="AJ10" s="549"/>
      <c r="AK10" s="549"/>
      <c r="AL10" s="550"/>
      <c r="AM10" s="766">
        <f>IF(ISNUMBER(Datos!R10),Datos!R10," - ")</f>
        <v>66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12</v>
      </c>
      <c r="BE10" s="693" t="str">
        <f>IF(ISNUMBER(Datos!BW10),Datos!BW10," - ")</f>
        <v xml:space="preserve"> - </v>
      </c>
      <c r="BF10" s="762" t="str">
        <f>IF(ISNUMBER(Datos!BX10),Datos!BX10," - ")</f>
        <v xml:space="preserve"> - </v>
      </c>
      <c r="BG10" s="763">
        <f>IF(ISNUMBER(Datos!K10/Datos!J10),Datos!K10/Datos!J10," - ")</f>
        <v>0.88095238095238093</v>
      </c>
      <c r="BH10" s="764">
        <f>IF(ISNUMBER(((Datos!L10/Datos!K10)*11)/factor_trimestre),((Datos!L10/Datos!K10)*11)/factor_trimestre," - ")</f>
        <v>4.4594594594594597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-4.3478260869565216E-2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30</v>
      </c>
      <c r="O11" s="549"/>
      <c r="P11" s="549"/>
      <c r="Q11" s="547">
        <f>IF(ISNUMBER(Datos!P11),Datos!P11,0)</f>
        <v>54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100</v>
      </c>
      <c r="AD11" s="549"/>
      <c r="AE11" s="563"/>
      <c r="AF11" s="551" t="str">
        <f>IF(ISNUMBER(IF(J_V="SI",Datos!L11,Datos!L11+Datos!AB11)-IF(Monitorios="SI",Datos!CD11,0)),
                          IF(J_V="SI",Datos!L11,Datos!L11+Datos!AB11)-IF(Monitorios="SI",Datos!CD11,0),
                          " - ")</f>
        <v xml:space="preserve"> - </v>
      </c>
      <c r="AG11" s="549"/>
      <c r="AH11" s="549">
        <f>IF(ISNUMBER(Datos!AB11),Datos!AB11,"-")</f>
        <v>33</v>
      </c>
      <c r="AI11" s="549"/>
      <c r="AJ11" s="549"/>
      <c r="AK11" s="549"/>
      <c r="AL11" s="550"/>
      <c r="AM11" s="766">
        <f>IF(ISNUMBER(Datos!R11),Datos!R11," - ")</f>
        <v>373</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164</v>
      </c>
      <c r="BD11" s="693">
        <f>IF(ISNUMBER(Datos!N11),Datos!N11," - ")</f>
        <v>126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0.99457994579945797</v>
      </c>
      <c r="BH11" s="764">
        <f>IF(ISNUMBER(((IF(J_V="SI",Datos!L11/Datos!K11,(Datos!L11+Datos!AB11)/(Datos!K11+Datos!AA11)))*11)/factor_trimestre),((IF(J_V="SI",Datos!L11/Datos!K11,(Datos!L11+Datos!AB11)/(Datos!K11+Datos!AA11)))*11)/factor_trimestre," - ")</f>
        <v>4.5367847411444151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-0.10978520286396182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93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4</v>
      </c>
      <c r="BH12" s="764">
        <f>IF(ISNUMBER(((IF(J_V="SI",Datos!L12/Datos!K12,(Datos!L12+Datos!AB12)/(Datos!K12+Datos!AA12)))*11)/factor_trimestre),((IF(J_V="SI",Datos!L12/Datos!K12,(Datos!L12+Datos!AB12)/(Datos!K12+Datos!AA12)))*11)/factor_trimestre," - ")</f>
        <v>5.25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-7.0000000000000007E-2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50</v>
      </c>
      <c r="G14" s="1197">
        <f t="shared" si="1"/>
        <v>50</v>
      </c>
      <c r="H14" s="1198">
        <f t="shared" si="1"/>
        <v>0</v>
      </c>
      <c r="I14" s="1197">
        <f t="shared" si="1"/>
        <v>0</v>
      </c>
      <c r="J14" s="1164">
        <f t="shared" si="1"/>
        <v>0</v>
      </c>
      <c r="K14" s="1164">
        <f t="shared" si="1"/>
        <v>0</v>
      </c>
      <c r="L14" s="1198">
        <f t="shared" si="1"/>
        <v>0</v>
      </c>
      <c r="M14" s="1198">
        <f t="shared" si="1"/>
        <v>0</v>
      </c>
      <c r="N14" s="1198">
        <f t="shared" si="1"/>
        <v>148</v>
      </c>
      <c r="O14" s="1199">
        <f t="shared" si="1"/>
        <v>0</v>
      </c>
      <c r="P14" s="1199">
        <f t="shared" si="1"/>
        <v>0</v>
      </c>
      <c r="Q14" s="1198">
        <f t="shared" si="1"/>
        <v>631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37</v>
      </c>
      <c r="AC14" s="1198">
        <f t="shared" si="2"/>
        <v>675</v>
      </c>
      <c r="AD14" s="1198">
        <f t="shared" si="2"/>
        <v>0</v>
      </c>
      <c r="AE14" s="1198">
        <f t="shared" si="2"/>
        <v>0</v>
      </c>
      <c r="AF14" s="1198">
        <f t="shared" si="2"/>
        <v>55</v>
      </c>
      <c r="AG14" s="1198">
        <f t="shared" si="2"/>
        <v>0</v>
      </c>
      <c r="AH14" s="1198">
        <f t="shared" si="2"/>
        <v>139</v>
      </c>
      <c r="AI14" s="1198">
        <f t="shared" si="2"/>
        <v>0</v>
      </c>
      <c r="AJ14" s="1198">
        <f t="shared" si="2"/>
        <v>0</v>
      </c>
      <c r="AK14" s="1198">
        <f t="shared" si="2"/>
        <v>0</v>
      </c>
      <c r="AL14" s="1198">
        <f t="shared" si="2"/>
        <v>0</v>
      </c>
      <c r="AM14" s="1198">
        <f t="shared" si="2"/>
        <v>7647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634</v>
      </c>
      <c r="BD14" s="1198">
        <f t="shared" si="2"/>
        <v>926</v>
      </c>
      <c r="BE14" s="1198">
        <f t="shared" si="2"/>
        <v>0</v>
      </c>
      <c r="BF14" s="1198">
        <f t="shared" si="2"/>
        <v>0</v>
      </c>
      <c r="BG14" s="1198">
        <f>IF(ISNUMBER(Datos!K14/Datos!J14),Datos!K14/Datos!J14," - ")</f>
        <v>0.93581860107609527</v>
      </c>
      <c r="BH14" s="1202">
        <f>IF(ISNUMBER(((Datos!L14/Datos!K14)*11)/factor_trimestre),((Datos!L14/Datos!K14)*11)/factor_trimestre," - ")</f>
        <v>5.0180698151950729</v>
      </c>
      <c r="BI14" s="1198">
        <f>IF(ISNUMBER('Resol  Asuntos'!D14/NºAsuntos!G14),'Resol  Asuntos'!D14/NºAsuntos!G14," - ")</f>
        <v>0.24097301406309388</v>
      </c>
      <c r="BJ14" s="1198" t="str">
        <f>IF(ISNUMBER(Datos!CI14/Datos!CJ14),Datos!CI14/Datos!CJ14," - ")</f>
        <v xml:space="preserve"> - </v>
      </c>
      <c r="BK14" s="1198">
        <f>SUBTOTAL(9,BK8:BK13)</f>
        <v>0</v>
      </c>
      <c r="BL14" s="1198">
        <f>IF(ISNUMBER((I14-AB14+L14)/(F14)),(I14-AB14+L14)/(F14)," - ")</f>
        <v>-0.74</v>
      </c>
      <c r="BM14" s="1203">
        <f>SUBTOTAL(9,BM9:BM13)</f>
        <v>-0.22157403673085213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507</v>
      </c>
      <c r="C16" s="749" t="str">
        <f>Datos!A16</f>
        <v xml:space="preserve">Jdos. Instrucción                               </v>
      </c>
      <c r="D16" s="750"/>
      <c r="E16" s="1555">
        <f>IF(ISNUMBER(Datos!AQ16),Datos!AQ16," - ")</f>
        <v>4</v>
      </c>
      <c r="F16" s="740">
        <f>IF(ISNUMBER(AF16+AB16-Datos!J16-L16),AF16+AB16-Datos!J16-L16," - ")</f>
        <v>1251</v>
      </c>
      <c r="G16" s="743">
        <f>IF(ISNUMBER(IF(D_I="SI",Datos!I16,Datos!I16+Datos!AC16)),IF(D_I="SI",Datos!I16,Datos!I16+Datos!AC16)," - ")</f>
        <v>1224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180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2712</v>
      </c>
      <c r="AC16" s="240">
        <f>IF(ISNUMBER(Datos!Q16),Datos!Q16," - ")</f>
        <v>207</v>
      </c>
      <c r="AD16" s="374"/>
      <c r="AE16" s="562"/>
      <c r="AF16" s="741">
        <f>IF(ISNUMBER(IF(D_I="SI",Datos!L16,Datos!L16+Datos!AF16)),IF(D_I="SI",Datos!L16,Datos!L16+Datos!AF16)," - ")</f>
        <v>1251</v>
      </c>
      <c r="AG16" s="374"/>
      <c r="AH16" s="374"/>
      <c r="AI16" s="374"/>
      <c r="AJ16" s="549"/>
      <c r="AK16" s="374"/>
      <c r="AL16" s="545"/>
      <c r="AM16" s="375">
        <f>IF(ISNUMBER(Datos!R16),Datos!R16," - ")</f>
        <v>208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373</v>
      </c>
      <c r="BD16" s="243">
        <f>IF(ISNUMBER(Datos!N16),Datos!N16," - ")</f>
        <v>1668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v>
      </c>
      <c r="BH16" s="764">
        <f>IF(ISNUMBER(((IF(D_I="SI",Datos!L16/Datos!K16,(Datos!L16+Datos!AF16)/(Datos!K16+Datos!AE16)))*11)/factor_trimestre),((IF(D_I="SI",Datos!L16/Datos!K16,(Datos!L16+Datos!AF16)/(Datos!K16+Datos!AE16)))*11)/factor_trimestre," - ")</f>
        <v>1.3838495575221239</v>
      </c>
      <c r="BI16" s="266">
        <f>IF(ISNUMBER('Resol  Asuntos'!D16/NºAsuntos!G16),'Resol  Asuntos'!D16/NºAsuntos!G16," - ")</f>
        <v>0.13753687315634219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507</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66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279</v>
      </c>
      <c r="AC18" s="547">
        <f>IF(ISNUMBER(Datos!Q18),Datos!Q18," - ")</f>
        <v>8</v>
      </c>
      <c r="AD18" s="549"/>
      <c r="AE18" s="562"/>
      <c r="AF18" s="551">
        <f>IF(ISNUMBER(Datos!L18),Datos!L18,"-")</f>
        <v>40</v>
      </c>
      <c r="AG18" s="549"/>
      <c r="AH18" s="549"/>
      <c r="AI18" s="549"/>
      <c r="AJ18" s="549"/>
      <c r="AK18" s="549"/>
      <c r="AL18" s="550"/>
      <c r="AM18" s="766">
        <f>IF(ISNUMBER(Datos!R18),Datos!R18," - ")</f>
        <v>17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51</v>
      </c>
      <c r="BD18" s="693">
        <f>IF(ISNUMBER(Datos!N18),Datos!N18," - ")</f>
        <v>174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1.1027667984189724</v>
      </c>
      <c r="BH18" s="764">
        <f>IF(ISNUMBER(((IF(D_I="SI",Datos!L18/Datos!K18,(Datos!L18+Datos!AF18)/(Datos!K18+Datos!AE18)))*11)/factor_trimestre),((IF(D_I="SI",Datos!L18/Datos!K18,(Datos!L18+Datos!AF18)/(Datos!K18+Datos!AE18)))*11)/factor_trimestre," - ")</f>
        <v>0.43010752688172044</v>
      </c>
      <c r="BI18" s="763">
        <f>IF(ISNUMBER('Resol  Asuntos'!D18/NºAsuntos!G18),'Resol  Asuntos'!D18/NºAsuntos!G18," - ")</f>
        <v>0.18279569892473119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1251</v>
      </c>
      <c r="G23" s="1197">
        <f>SUBTOTAL(9,G16:G22)</f>
        <v>1290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2991</v>
      </c>
      <c r="AC23" s="1198">
        <f t="shared" si="5"/>
        <v>215</v>
      </c>
      <c r="AD23" s="1198">
        <f t="shared" si="5"/>
        <v>0</v>
      </c>
      <c r="AE23" s="1198">
        <f t="shared" si="5"/>
        <v>0</v>
      </c>
      <c r="AF23" s="1198">
        <f t="shared" si="5"/>
        <v>1291</v>
      </c>
      <c r="AG23" s="1198">
        <f t="shared" si="5"/>
        <v>0</v>
      </c>
      <c r="AH23" s="1198">
        <f t="shared" si="5"/>
        <v>0</v>
      </c>
      <c r="AI23" s="1198">
        <f t="shared" si="5"/>
        <v>0</v>
      </c>
      <c r="AJ23" s="1198">
        <f t="shared" si="5"/>
        <v>0</v>
      </c>
      <c r="AK23" s="1198">
        <f t="shared" si="5"/>
        <v>0</v>
      </c>
      <c r="AL23" s="1198">
        <f t="shared" si="5"/>
        <v>0</v>
      </c>
      <c r="AM23" s="1198">
        <f t="shared" si="5"/>
        <v>225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424</v>
      </c>
      <c r="BD23" s="1198">
        <f t="shared" si="5"/>
        <v>1842</v>
      </c>
      <c r="BE23" s="1198">
        <f t="shared" si="5"/>
        <v>0</v>
      </c>
      <c r="BF23" s="1198">
        <f t="shared" si="5"/>
        <v>0</v>
      </c>
      <c r="BG23" s="1198">
        <f>IF(ISNUMBER(Datos!K23/Datos!J23),Datos!K23/Datos!J23," - ")</f>
        <v>1.008768971332209</v>
      </c>
      <c r="BH23" s="1202">
        <f>IF(ISNUMBER(((Datos!L23/Datos!K23)*11)/factor_trimestre),((Datos!L23/Datos!K23)*11)/factor_trimestre," - ")</f>
        <v>1.2948846539618857</v>
      </c>
      <c r="BI23" s="1198">
        <f>SUBTOTAL(9,BI16:BI22)</f>
        <v>0.32033257208107335</v>
      </c>
      <c r="BJ23" s="1198">
        <f>SUBTOTAL(9,BJ16:BJ22)</f>
        <v>0</v>
      </c>
      <c r="BK23" s="1198">
        <f>SUBTOTAL(9,BK16:BK22)</f>
        <v>0</v>
      </c>
      <c r="BL23" s="1198">
        <f>IF(ISNUMBER((I23-AB23+L23)/(F23)),(I23-AB23+L23)/(F23)," - ")</f>
        <v>-2.3908872901678655</v>
      </c>
      <c r="BM23" s="1205">
        <f>IF(ISNUMBER((Datos!P23-Datos!Q23)/(Datos!R23-Datos!P23+Datos!Q23)),(Datos!P23-Datos!Q23)/(Datos!R23-Datos!P23+Datos!Q23)," - ")</f>
        <v>-0.11764705882352941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13</v>
      </c>
      <c r="F31" s="1117">
        <f t="shared" si="18"/>
        <v>1301</v>
      </c>
      <c r="G31" s="1117">
        <f t="shared" si="18"/>
        <v>1340</v>
      </c>
      <c r="H31" s="1119">
        <f t="shared" si="18"/>
        <v>0</v>
      </c>
      <c r="I31" s="1117">
        <f t="shared" si="18"/>
        <v>0</v>
      </c>
      <c r="J31" s="1119">
        <f t="shared" si="18"/>
        <v>0</v>
      </c>
      <c r="K31" s="1119">
        <f t="shared" si="18"/>
        <v>0</v>
      </c>
      <c r="L31" s="1180">
        <f t="shared" si="18"/>
        <v>0</v>
      </c>
      <c r="M31" s="1180">
        <f t="shared" si="18"/>
        <v>0</v>
      </c>
      <c r="N31" s="1180">
        <f t="shared" si="18"/>
        <v>148</v>
      </c>
      <c r="O31" s="1180">
        <f t="shared" si="18"/>
        <v>0</v>
      </c>
      <c r="P31" s="1180">
        <f t="shared" si="18"/>
        <v>0</v>
      </c>
      <c r="Q31" s="1119">
        <f t="shared" si="18"/>
        <v>816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3028</v>
      </c>
      <c r="AC31" s="1118">
        <f t="shared" si="19"/>
        <v>890</v>
      </c>
      <c r="AD31" s="1118">
        <f t="shared" si="19"/>
        <v>0</v>
      </c>
      <c r="AE31" s="1118">
        <f t="shared" si="19"/>
        <v>0</v>
      </c>
      <c r="AF31" s="1125">
        <f t="shared" si="19"/>
        <v>1346</v>
      </c>
      <c r="AG31" s="1125">
        <f t="shared" si="19"/>
        <v>0</v>
      </c>
      <c r="AH31" s="1125">
        <f t="shared" si="19"/>
        <v>139</v>
      </c>
      <c r="AI31" s="1125">
        <f t="shared" si="19"/>
        <v>0</v>
      </c>
      <c r="AJ31" s="1118">
        <f t="shared" si="19"/>
        <v>0</v>
      </c>
      <c r="AK31" s="1125">
        <f t="shared" si="19"/>
        <v>0</v>
      </c>
      <c r="AL31" s="1125">
        <f t="shared" si="19"/>
        <v>0</v>
      </c>
      <c r="AM31" s="1125">
        <f t="shared" si="19"/>
        <v>7872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1058</v>
      </c>
      <c r="BD31" s="1117">
        <f t="shared" si="19"/>
        <v>2768</v>
      </c>
      <c r="BE31" s="1117">
        <f t="shared" si="19"/>
        <v>0</v>
      </c>
      <c r="BF31" s="1127">
        <f t="shared" si="19"/>
        <v>0</v>
      </c>
      <c r="BG31" s="1223">
        <f>IF(ISNUMBER(Datos!K31/Datos!J31),Datos!K31/Datos!J31," - ")</f>
        <v>0.9746721753188432</v>
      </c>
      <c r="BH31" s="1223">
        <f>IF(ISNUMBER(((Datos!L31/Datos!K31)*11)/factor_trimestre),((Datos!L31/Datos!K31)*11)/factor_trimestre," - ")</f>
        <v>2.9657206044968669</v>
      </c>
      <c r="BI31" s="1103">
        <f>IF(ISNUMBER(Datos!J31/Datos!I31),Datos!J31/Datos!I31," - ")</f>
        <v>1.0709888418622546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-2.3274404304381244</v>
      </c>
      <c r="BM31" s="1188">
        <f>IF(ISNUMBER((Datos!P31-Datos!Q31+R31)/(Datos!R31-Datos!P31+Datos!Q31-R31)),(Datos!P31-Datos!Q31+R31)/(Datos!R31-Datos!P31+Datos!Q31-R31)," - ")</f>
        <v>-9.31286181726655E-3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382.85714285714283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2.4542599318054101</v>
      </c>
      <c r="F33" s="673">
        <f>IF(ISNUMBER(STDEV(F8:F30)),STDEV(F8:F30),"-")</f>
        <v>633.49843462053377</v>
      </c>
      <c r="G33" s="674">
        <f>IF(ISNUMBER(STDEV(G8:G30)),STDEV(G8:G30),"-")</f>
        <v>597.99315173654747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1362.7361481680193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237.81047542575206</v>
      </c>
      <c r="BD33" s="673"/>
      <c r="BE33" s="673">
        <f>IF(ISNUMBER(STDEV(BE8:BE30)),STDEV(BE8:BE30),"-")</f>
        <v>0</v>
      </c>
      <c r="BF33" s="678">
        <f>IF(ISNUMBER(STDEV(BF8:BF30)),STDEV(BF8:BF30),"-")</f>
        <v>0</v>
      </c>
      <c r="BG33" s="1052">
        <f>IF(ISNUMBER(STDEV(BG8:BG30)),STDEV(BG8:BG30),"-")</f>
        <v>1.0689854849106641</v>
      </c>
      <c r="BH33" s="1058">
        <f>IF(ISNUMBER(STDEV(BH8:BH30)),STDEV(BH8:BH30),"-")</f>
        <v>1.9956719285192028</v>
      </c>
      <c r="BI33" s="273">
        <f>IF(ISNUMBER(STDEV(BI8:BI30)),STDEV(BI8:BI30),"-")</f>
        <v>7.8930663150291236E-2</v>
      </c>
      <c r="BJ33" s="244" t="str">
        <f>IF(ISNUMBER(BL33/BM33),BL33/BM33," - ")</f>
        <v xml:space="preserve"> - </v>
      </c>
      <c r="BK33" s="709"/>
      <c r="BL33" s="681">
        <f>IF(ISNUMBER(STDEV(BL8:BL30)),STDEV(BL8:BL30),"-")</f>
        <v>1.1673535978523815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98LvPCvwNsQuZfLcaUyr7fTkw4lyKkqR7Z3MgOZVdEahve+DW3Up2Qz57pGMkQ0MKrM5b2tEt1TiUfQNOQYE5g==" saltValue="0FNGDvFiPf5XayKrS1ktv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BADAJOZ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2 al 2</v>
      </c>
      <c r="D5" s="1925" t="s">
        <v>487</v>
      </c>
      <c r="E5" s="1882" t="s">
        <v>752</v>
      </c>
      <c r="F5" s="1893" t="s">
        <v>523</v>
      </c>
      <c r="G5" s="1882" t="s">
        <v>173</v>
      </c>
      <c r="H5" s="1882" t="s">
        <v>785</v>
      </c>
      <c r="I5" s="1882" t="s">
        <v>753</v>
      </c>
      <c r="J5" s="1882" t="s">
        <v>890</v>
      </c>
      <c r="K5" s="1882" t="s">
        <v>754</v>
      </c>
      <c r="L5" s="1882" t="s">
        <v>783</v>
      </c>
      <c r="M5" s="1882" t="s">
        <v>892</v>
      </c>
      <c r="N5" s="1882" t="s">
        <v>780</v>
      </c>
      <c r="O5" s="1882" t="s">
        <v>814</v>
      </c>
      <c r="P5" s="1888" t="s">
        <v>882</v>
      </c>
      <c r="Q5" s="1888" t="s">
        <v>885</v>
      </c>
      <c r="R5" s="1882" t="s">
        <v>789</v>
      </c>
      <c r="S5" s="1882" t="s">
        <v>755</v>
      </c>
      <c r="T5" s="1882" t="s">
        <v>1038</v>
      </c>
      <c r="U5" s="1882" t="s">
        <v>1039</v>
      </c>
      <c r="V5" s="1902" t="s">
        <v>873</v>
      </c>
      <c r="W5" s="1899" t="s">
        <v>769</v>
      </c>
      <c r="X5" s="1917" t="s">
        <v>770</v>
      </c>
      <c r="Y5" s="1920" t="s">
        <v>790</v>
      </c>
      <c r="Z5" s="1920" t="s">
        <v>815</v>
      </c>
      <c r="AA5" s="1882" t="s">
        <v>759</v>
      </c>
      <c r="AB5" s="1882" t="s">
        <v>771</v>
      </c>
      <c r="AC5" s="1882" t="s">
        <v>772</v>
      </c>
      <c r="AD5" s="1882" t="s">
        <v>712</v>
      </c>
      <c r="AE5" s="1882" t="s">
        <v>893</v>
      </c>
      <c r="AF5" s="1882" t="s">
        <v>239</v>
      </c>
      <c r="AG5" s="1882" t="s">
        <v>773</v>
      </c>
      <c r="AH5" s="1882" t="s">
        <v>760</v>
      </c>
      <c r="AI5" s="1882" t="s">
        <v>761</v>
      </c>
      <c r="AJ5" s="1882" t="s">
        <v>774</v>
      </c>
      <c r="AK5" s="1882" t="s">
        <v>775</v>
      </c>
      <c r="AL5" s="1882" t="s">
        <v>776</v>
      </c>
      <c r="AM5" s="1914" t="s">
        <v>777</v>
      </c>
      <c r="AN5" s="1882" t="s">
        <v>320</v>
      </c>
      <c r="AO5" s="1882" t="s">
        <v>763</v>
      </c>
      <c r="AP5" s="1882" t="s">
        <v>764</v>
      </c>
      <c r="AQ5" s="1882" t="s">
        <v>791</v>
      </c>
      <c r="AR5" s="1882" t="s">
        <v>792</v>
      </c>
      <c r="AS5" s="1882" t="s">
        <v>794</v>
      </c>
      <c r="AT5" s="1882" t="s">
        <v>787</v>
      </c>
      <c r="AU5" s="1882" t="s">
        <v>1112</v>
      </c>
      <c r="AV5" s="1882" t="s">
        <v>432</v>
      </c>
      <c r="AW5" s="1882" t="s">
        <v>778</v>
      </c>
      <c r="AX5" s="1882" t="s">
        <v>717</v>
      </c>
      <c r="BU5" s="1882" t="s">
        <v>1040</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566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554</v>
      </c>
      <c r="AA9" s="551" t="str">
        <f>IF(ISNUMBER(IF(J_V="SI",Datos!L9,Datos!L9+Datos!AB9)-IF(Monitorios="SI",Datos!CD9,0)),
                          IF(J_V="SI",Datos!L9,Datos!L9+Datos!AB9)-IF(Monitorios="SI",Datos!CD9,0),
                          " - ")</f>
        <v xml:space="preserve"> - </v>
      </c>
      <c r="AB9" s="549"/>
      <c r="AC9" s="549"/>
      <c r="AD9" s="563"/>
      <c r="AE9" s="563">
        <f>IF(ISNUMBER(Datos!R9),Datos!R9," - ")</f>
        <v>7115</v>
      </c>
      <c r="AF9" s="693" t="str">
        <f>IF(ISNUMBER(Datos!BV9),Datos!BV9," - ")</f>
        <v xml:space="preserve"> - </v>
      </c>
      <c r="AG9" s="552" t="str">
        <f>IF(ISNUMBER(Datos!DV9),Datos!DV9," - ")</f>
        <v xml:space="preserve"> - </v>
      </c>
      <c r="AH9" s="553"/>
      <c r="AI9" s="554"/>
      <c r="AJ9" s="552">
        <f>IF(ISNUMBER(Datos!M9),Datos!M9," - ")</f>
        <v>454</v>
      </c>
      <c r="AK9" s="693">
        <f>IF(ISNUMBER(Datos!N9),Datos!N9," - ")</f>
        <v>787</v>
      </c>
      <c r="AL9" s="693" t="str">
        <f>IF(ISNUMBER(Datos!BW9),Datos!BW9," - ")</f>
        <v xml:space="preserve"> - </v>
      </c>
      <c r="AM9" s="762" t="str">
        <f>IF(ISNUMBER(Datos!BX9),Datos!BX9," - ")</f>
        <v xml:space="preserve"> - </v>
      </c>
      <c r="AN9" s="763"/>
      <c r="AO9" s="764">
        <f>IF(ISNUMBER(((NºAsuntos!I9/NºAsuntos!G9)*11)/factor_trimestre),((NºAsuntos!I9/NºAsuntos!G9)*11)/factor_trimestre," - ")</f>
        <v>4.8515519568151149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1.6894270026749261E-3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317</v>
      </c>
      <c r="C10" s="747" t="str">
        <f>Datos!A10</f>
        <v>Jdos. Violencia contra la mujer</v>
      </c>
      <c r="D10" s="601"/>
      <c r="E10" s="1558">
        <f>IF(ISNUMBER(Datos!AQ10),Datos!AQ10," - ")</f>
        <v>1</v>
      </c>
      <c r="F10" s="552">
        <f>IF(ISNUMBER(Datos!L10+Datos!K10-Datos!J10),Datos!L10+Datos!K10-Datos!J10," - ")</f>
        <v>50</v>
      </c>
      <c r="G10" s="552">
        <f>IF(ISNUMBER(Datos!I10),Datos!I10," - ")</f>
        <v>50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37</v>
      </c>
      <c r="Z10" s="805">
        <f>IF(ISNUMBER(Datos!Q10),Datos!Q10," - ")</f>
        <v>12</v>
      </c>
      <c r="AA10" s="551">
        <f>IF(ISNUMBER(Datos!L10),Datos!L10,"-")</f>
        <v>55</v>
      </c>
      <c r="AB10" s="549"/>
      <c r="AC10" s="549"/>
      <c r="AD10" s="563"/>
      <c r="AE10" s="563">
        <f>IF(ISNUMBER(Datos!R10),Datos!R10," - ")</f>
        <v>66</v>
      </c>
      <c r="AF10" s="693" t="str">
        <f>IF(ISNUMBER(Datos!BV10),Datos!BV10," - ")</f>
        <v xml:space="preserve"> - </v>
      </c>
      <c r="AG10" s="552" t="str">
        <f>IF(ISNUMBER(Datos!DV10),Datos!DV10," - ")</f>
        <v xml:space="preserve"> - </v>
      </c>
      <c r="AH10" s="553"/>
      <c r="AI10" s="554"/>
      <c r="AJ10" s="552">
        <f>IF(ISNUMBER(Datos!M10),Datos!M10," - ")</f>
        <v>16</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4.4594594594594597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-4.3478260869565216E-2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100</v>
      </c>
      <c r="AA11" s="551" t="str">
        <f>IF(ISNUMBER(IF(J_V="SI",Datos!L11,Datos!L11+Datos!AB11)-IF(Monitorios="SI",Datos!CD11,0)),
                          IF(J_V="SI",Datos!L11,Datos!L11+Datos!AB11)-IF(Monitorios="SI",Datos!CD11,0),
                          " - ")</f>
        <v xml:space="preserve"> - </v>
      </c>
      <c r="AB11" s="549"/>
      <c r="AC11" s="549"/>
      <c r="AD11" s="563"/>
      <c r="AE11" s="563">
        <f>IF(ISNUMBER(Datos!R11),Datos!R11," - ")</f>
        <v>373</v>
      </c>
      <c r="AF11" s="693" t="str">
        <f>IF(ISNUMBER(Datos!BV11),Datos!BV11," - ")</f>
        <v xml:space="preserve"> - </v>
      </c>
      <c r="AG11" s="552" t="str">
        <f>IF(ISNUMBER(Datos!DV11),Datos!DV11," - ")</f>
        <v xml:space="preserve"> - </v>
      </c>
      <c r="AH11" s="553"/>
      <c r="AI11" s="554"/>
      <c r="AJ11" s="552">
        <f>IF(ISNUMBER(Datos!M11),Datos!M11," - ")</f>
        <v>164</v>
      </c>
      <c r="AK11" s="693">
        <f>IF(ISNUMBER(Datos!N11),Datos!N11," - ")</f>
        <v>126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4.5367847411444151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-0.10978520286396182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v>
      </c>
      <c r="AA12" s="551" t="str">
        <f>IF(ISNUMBER(IF(J_V="SI",Datos!L12,Datos!L12+Datos!AB12)-IF(Monitorios="SI",Datos!CD12,0)),
                          IF(J_V="SI",Datos!L12,Datos!L12+Datos!AB12)-IF(Monitorios="SI",Datos!CD12,0),
                          " - ")</f>
        <v xml:space="preserve"> - </v>
      </c>
      <c r="AB12" s="549"/>
      <c r="AC12" s="549"/>
      <c r="AD12" s="563"/>
      <c r="AE12" s="563">
        <f>IF(ISNUMBER(Datos!R12),Datos!R12," - ")</f>
        <v>93</v>
      </c>
      <c r="AF12" s="693" t="str">
        <f>IF(ISNUMBER(Datos!BV12),Datos!BV12," - ")</f>
        <v xml:space="preserve"> - </v>
      </c>
      <c r="AG12" s="552" t="str">
        <f>IF(ISNUMBER(Datos!DV12),Datos!DV12," - ")</f>
        <v xml:space="preserve"> - </v>
      </c>
      <c r="AH12" s="553"/>
      <c r="AI12" s="554"/>
      <c r="AJ12" s="552">
        <f>IF(ISNUMBER(Datos!M12),Datos!M12," - ")</f>
        <v>0</v>
      </c>
      <c r="AK12" s="693">
        <f>IF(ISNUMBER(Datos!N12),Datos!N12," - ")</f>
        <v>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-7.0000000000000007E-2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50</v>
      </c>
      <c r="G14" s="1197">
        <f>SUBTOTAL(9,G8:G13)</f>
        <v>50</v>
      </c>
      <c r="H14" s="1211"/>
      <c r="I14" s="1197">
        <f t="shared" ref="I14:N14" si="1">SUBTOTAL(9,I8:I13)</f>
        <v>0</v>
      </c>
      <c r="J14" s="1164">
        <f t="shared" si="1"/>
        <v>0</v>
      </c>
      <c r="K14" s="1211">
        <f t="shared" si="1"/>
        <v>0</v>
      </c>
      <c r="L14" s="1211">
        <f t="shared" si="1"/>
        <v>0</v>
      </c>
      <c r="M14" s="1211">
        <f t="shared" si="1"/>
        <v>0</v>
      </c>
      <c r="N14" s="1211">
        <f t="shared" si="1"/>
        <v>631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37</v>
      </c>
      <c r="Z14" s="1210">
        <f t="shared" si="3"/>
        <v>675</v>
      </c>
      <c r="AA14" s="1199">
        <f t="shared" si="3"/>
        <v>55</v>
      </c>
      <c r="AB14" s="1199">
        <f t="shared" si="3"/>
        <v>0</v>
      </c>
      <c r="AC14" s="1199">
        <f t="shared" si="3"/>
        <v>0</v>
      </c>
      <c r="AD14" s="1199">
        <f t="shared" si="3"/>
        <v>0</v>
      </c>
      <c r="AE14" s="1199">
        <f t="shared" si="3"/>
        <v>7647</v>
      </c>
      <c r="AF14" s="1211">
        <f t="shared" si="3"/>
        <v>0</v>
      </c>
      <c r="AG14" s="1211">
        <f t="shared" si="3"/>
        <v>0</v>
      </c>
      <c r="AH14" s="1211">
        <f t="shared" si="3"/>
        <v>0</v>
      </c>
      <c r="AI14" s="1211">
        <f t="shared" si="3"/>
        <v>0</v>
      </c>
      <c r="AJ14" s="1211">
        <f t="shared" si="3"/>
        <v>634</v>
      </c>
      <c r="AK14" s="1211">
        <f t="shared" si="3"/>
        <v>926</v>
      </c>
      <c r="AL14" s="1211">
        <f t="shared" si="3"/>
        <v>0</v>
      </c>
      <c r="AM14" s="1211">
        <f t="shared" si="3"/>
        <v>0</v>
      </c>
      <c r="AN14" s="1211">
        <f t="shared" si="3"/>
        <v>0</v>
      </c>
      <c r="AO14" s="1203">
        <f>IF(ISNUMBER(((NºAsuntos!I14/NºAsuntos!G14)*11)/factor_trimestre),((NºAsuntos!I14/NºAsuntos!G14)*11)/factor_trimestre," - ")</f>
        <v>4.8027366020524509</v>
      </c>
      <c r="AP14" s="1213" t="str">
        <f>IF(ISNUMBER(Datos!CI14/Datos!CJ14),Datos!CI14/Datos!CJ14," - ")</f>
        <v xml:space="preserve"> - </v>
      </c>
      <c r="AQ14" s="1236">
        <f t="shared" ref="AQ14:AV14" si="4">SUBTOTAL(9,AQ9:AQ13)</f>
        <v>0</v>
      </c>
      <c r="AR14" s="1236">
        <f t="shared" si="4"/>
        <v>-0.22157403673085213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507</v>
      </c>
      <c r="C16" s="765" t="str">
        <f>Datos!A16</f>
        <v xml:space="preserve">Jdos. Instrucción                               </v>
      </c>
      <c r="D16" s="593"/>
      <c r="E16" s="1558">
        <f>IF(ISNUMBER(Datos!AQ16),Datos!AQ16," - ")</f>
        <v>4</v>
      </c>
      <c r="F16" s="543">
        <f>IF(ISNUMBER(AA16+Y16-Datos!J16-K16),AA16+Y16-Datos!J16-K16," - ")</f>
        <v>1251</v>
      </c>
      <c r="G16" s="552">
        <f>IF(ISNUMBER(IF(D_I="SI",Datos!I16,Datos!I16+Datos!AC16)),IF(D_I="SI",Datos!I16,Datos!I16+Datos!AC16)," - ")</f>
        <v>1224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180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2712</v>
      </c>
      <c r="Z16" s="805">
        <f>IF(ISNUMBER(Datos!Q16),Datos!Q16," - ")</f>
        <v>207</v>
      </c>
      <c r="AA16" s="551">
        <f>IF(ISNUMBER(IF(D_I="SI",Datos!L16,Datos!L16+Datos!AF16)),IF(D_I="SI",Datos!L16,Datos!L16+Datos!AF16)," - ")</f>
        <v>1251</v>
      </c>
      <c r="AB16" s="549"/>
      <c r="AC16" s="549"/>
      <c r="AD16" s="563"/>
      <c r="AE16" s="563">
        <f>IF(ISNUMBER(Datos!R16),Datos!R16," - ")</f>
        <v>208</v>
      </c>
      <c r="AF16" s="693" t="str">
        <f>IF(ISNUMBER(Datos!BV16),Datos!BV16," - ")</f>
        <v xml:space="preserve"> - </v>
      </c>
      <c r="AG16" s="552"/>
      <c r="AH16" s="553"/>
      <c r="AI16" s="554"/>
      <c r="AJ16" s="552">
        <f>IF(ISNUMBER(Datos!M16),Datos!M16," - ")</f>
        <v>373</v>
      </c>
      <c r="AK16" s="693">
        <f>IF(ISNUMBER(Datos!N16),Datos!N16," - ")</f>
        <v>1668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1.3838495575221239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507</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66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279</v>
      </c>
      <c r="Z18" s="805">
        <f>IF(ISNUMBER(Datos!Q18),Datos!Q18," - ")</f>
        <v>8</v>
      </c>
      <c r="AA18" s="551">
        <f>IF(ISNUMBER(Datos!L18),Datos!L18,"-")</f>
        <v>40</v>
      </c>
      <c r="AB18" s="549"/>
      <c r="AC18" s="549"/>
      <c r="AD18" s="563"/>
      <c r="AE18" s="563">
        <f>IF(ISNUMBER(Datos!R18),Datos!R18," - ")</f>
        <v>17</v>
      </c>
      <c r="AF18" s="693" t="str">
        <f>IF(ISNUMBER(Datos!BV18),Datos!BV18," - ")</f>
        <v xml:space="preserve"> - </v>
      </c>
      <c r="AG18" s="552" t="str">
        <f>IF(ISNUMBER(Datos!DV18),Datos!DV18," - ")</f>
        <v xml:space="preserve"> - </v>
      </c>
      <c r="AH18" s="553"/>
      <c r="AI18" s="554"/>
      <c r="AJ18" s="552">
        <f>IF(ISNUMBER(Datos!M18),Datos!M18," - ")</f>
        <v>51</v>
      </c>
      <c r="AK18" s="693">
        <f>IF(ISNUMBER(Datos!N18),Datos!N18," - ")</f>
        <v>174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0.43010752688172044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1251</v>
      </c>
      <c r="G23" s="1197">
        <f>SUBTOTAL(9,G16:G22)</f>
        <v>1290</v>
      </c>
      <c r="H23" s="1240">
        <f>SUBTOTAL(9,H16:H22)</f>
        <v>0</v>
      </c>
      <c r="I23" s="1217">
        <f>SUBTOTAL(9,I16:I22)</f>
        <v>0</v>
      </c>
      <c r="J23" s="1164">
        <f>SUBTOTAL(9,J15:J22)</f>
        <v>0</v>
      </c>
      <c r="K23" s="1240">
        <f t="shared" ref="K23:S23" si="5">SUBTOTAL(9,K16:K22)</f>
        <v>0</v>
      </c>
      <c r="L23" s="1240">
        <f t="shared" si="5"/>
        <v>0</v>
      </c>
      <c r="M23" s="1240">
        <f t="shared" si="5"/>
        <v>0</v>
      </c>
      <c r="N23" s="1240">
        <f t="shared" si="5"/>
        <v>185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2991</v>
      </c>
      <c r="Z23" s="1240">
        <f t="shared" si="6"/>
        <v>215</v>
      </c>
      <c r="AA23" s="1240">
        <f t="shared" si="6"/>
        <v>1291</v>
      </c>
      <c r="AB23" s="1240">
        <f t="shared" si="6"/>
        <v>0</v>
      </c>
      <c r="AC23" s="1240">
        <f t="shared" si="6"/>
        <v>0</v>
      </c>
      <c r="AD23" s="1240">
        <f t="shared" si="6"/>
        <v>0</v>
      </c>
      <c r="AE23" s="1240">
        <f t="shared" si="6"/>
        <v>225</v>
      </c>
      <c r="AF23" s="1240">
        <f t="shared" si="6"/>
        <v>0</v>
      </c>
      <c r="AG23" s="1240">
        <f t="shared" si="6"/>
        <v>0</v>
      </c>
      <c r="AH23" s="1240">
        <f t="shared" si="6"/>
        <v>0</v>
      </c>
      <c r="AI23" s="1240">
        <f t="shared" si="6"/>
        <v>0</v>
      </c>
      <c r="AJ23" s="1240">
        <f t="shared" si="6"/>
        <v>424</v>
      </c>
      <c r="AK23" s="1240">
        <f t="shared" si="6"/>
        <v>1842</v>
      </c>
      <c r="AL23" s="1240">
        <f t="shared" si="6"/>
        <v>0</v>
      </c>
      <c r="AM23" s="1240">
        <f t="shared" si="6"/>
        <v>0</v>
      </c>
      <c r="AN23" s="1240">
        <f t="shared" si="6"/>
        <v>0</v>
      </c>
      <c r="AO23" s="1242">
        <f>IF(ISNUMBER(((NºAsuntos!I23/NºAsuntos!G23)*11)/factor_trimestre),((NºAsuntos!I23/NºAsuntos!G23)*11)/factor_trimestre," - ")</f>
        <v>1.2948846539618857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13</v>
      </c>
      <c r="F31" s="1117">
        <f t="shared" si="12"/>
        <v>1301</v>
      </c>
      <c r="G31" s="1117">
        <f t="shared" si="12"/>
        <v>1340</v>
      </c>
      <c r="H31" s="1118">
        <f t="shared" si="12"/>
        <v>0</v>
      </c>
      <c r="I31" s="1117">
        <f t="shared" si="12"/>
        <v>0</v>
      </c>
      <c r="J31" s="1119">
        <f t="shared" si="12"/>
        <v>0</v>
      </c>
      <c r="K31" s="1117">
        <f t="shared" si="12"/>
        <v>0</v>
      </c>
      <c r="L31" s="1120">
        <f t="shared" si="12"/>
        <v>0</v>
      </c>
      <c r="M31" s="1117">
        <f t="shared" si="12"/>
        <v>0</v>
      </c>
      <c r="N31" s="1118">
        <f t="shared" si="12"/>
        <v>816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3028</v>
      </c>
      <c r="Z31" s="1124">
        <f t="shared" si="13"/>
        <v>890</v>
      </c>
      <c r="AA31" s="1125">
        <f t="shared" si="13"/>
        <v>1346</v>
      </c>
      <c r="AB31" s="1125">
        <f t="shared" si="13"/>
        <v>0</v>
      </c>
      <c r="AC31" s="1125">
        <f t="shared" si="13"/>
        <v>0</v>
      </c>
      <c r="AD31" s="1126">
        <f t="shared" si="13"/>
        <v>0</v>
      </c>
      <c r="AE31" s="1126">
        <f t="shared" si="13"/>
        <v>7872</v>
      </c>
      <c r="AF31" s="1127">
        <f t="shared" si="13"/>
        <v>0</v>
      </c>
      <c r="AG31" s="1128">
        <f t="shared" si="13"/>
        <v>0</v>
      </c>
      <c r="AH31" s="1129">
        <f t="shared" si="13"/>
        <v>0</v>
      </c>
      <c r="AI31" s="1127">
        <f t="shared" si="13"/>
        <v>0</v>
      </c>
      <c r="AJ31" s="1117">
        <f t="shared" si="13"/>
        <v>1058</v>
      </c>
      <c r="AK31" s="1117">
        <f t="shared" si="13"/>
        <v>2768</v>
      </c>
      <c r="AL31" s="1117">
        <f t="shared" si="13"/>
        <v>0</v>
      </c>
      <c r="AM31" s="1130">
        <f t="shared" si="13"/>
        <v>0</v>
      </c>
      <c r="AN31" s="1120">
        <f>IF(ISNUMBER(Datos!K31/Datos!J31),Datos!K31/Datos!J31," - ")</f>
        <v>0.9746721753188432</v>
      </c>
      <c r="AO31" s="1120">
        <f>IF(ISNUMBER(FIND("06",Criterios!A8,1)),(IF(ISNUMBER(((Datos!R31/Datos!Q31)*11)/factor_trimestre),((Datos!R31/Datos!Q31)*11)/factor_trimestre," - ")),(IF(ISNUMBER(((Datos!L31/Datos!K31)*11)/factor_trimestre),((Datos!L31/Datos!K31)*11)/factor_trimestre," - ")))</f>
        <v>2.9657206044968669</v>
      </c>
      <c r="AP31" s="1131" t="str">
        <f>IF(ISNUMBER(Datos!CI31/Datos!CJ31),Datos!CI31/Datos!CJ31," - ")</f>
        <v xml:space="preserve"> - </v>
      </c>
      <c r="AQ31" s="1131">
        <f>IF(OR(ISNUMBER(FIND("01",Criterios!A8,1)),ISNUMBER(FIND("02",Criterios!A8,1)),ISNUMBER(FIND("03",Criterios!A8,1)),ISNUMBER(FIND("04",Criterios!A8,1))),(J31-Y31+K31)/(F31-K31),(I31-Y31+K31)/(F31-K31))</f>
        <v>-2.3274404304381244</v>
      </c>
      <c r="AR31" s="1131">
        <f>IF(ISNUMBER((Datos!P31-Datos!Q31+O31)/(Datos!R31-Datos!P31+Datos!Q31-O31)),(Datos!P31-Datos!Q31+O31)/(Datos!R31-Datos!P31+Datos!Q31-O31)," - ")</f>
        <v>-9.31286181726655E-3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382.85714285714283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633.49843462053377</v>
      </c>
      <c r="G33" s="674">
        <f>IF(ISNUMBER(STDEV(G8:G30)),STDEV(G8:G30),"-")</f>
        <v>597.99315173654747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237.81047542575206</v>
      </c>
      <c r="AK33" s="276"/>
      <c r="AL33" s="276">
        <f>IF(ISNUMBER(STDEV(AL8:AL30)),STDEV(AL8:AL30),"-")</f>
        <v>0</v>
      </c>
      <c r="AM33" s="278">
        <f>IF(ISNUMBER(STDEV(AM8:AM30)),STDEV(AM8:AM30),"-")</f>
        <v>0</v>
      </c>
      <c r="AN33" s="660">
        <f>IF(ISNUMBER(STDEV(AN8:AN30)),STDEV(AN8:AN30),"-")</f>
        <v>0</v>
      </c>
      <c r="AO33" s="661">
        <f>IF(ISNUMBER(STDEV(AO8:AO30)),STDEV(AO8:AO30),"-")</f>
        <v>1.9720909577857604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4s1WDbgAOMRDxvgbV3EhzuUJ/l21t8LJECkax+xsRgQJ8Egrga7GzjIO/Tt90CxtHVYfLiFGNRtcQDoTsr0cHg==" saltValue="1g71n8wt2MprNE8zRiwi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arpobopxVbsePkqmSZAWDUv9Bt5gwegAX8tNDTQORpWeNCg1mNhpxqnOJpzCTPbVeBeFkSC6KmQI7/QwccmuXQ==" saltValue="E3I1Vn41/SncGXjrE6+65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1010</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jnuXhsANNnUOWyKOAaGfGa0Sa5kAaknpqqTqybFfjv+1YV/QEV8R/dTHtZ24pizLl6zR+VAQ9SevExTIAZKg==" saltValue="cTM/qeDRxc1rAGSyc7TVT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BADAJOZ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2 al 2</v>
      </c>
      <c r="D5" s="1882" t="s">
        <v>487</v>
      </c>
      <c r="E5" s="1882" t="s">
        <v>752</v>
      </c>
      <c r="F5" s="1893" t="s">
        <v>523</v>
      </c>
      <c r="G5" s="1882" t="s">
        <v>173</v>
      </c>
      <c r="H5" s="1882" t="s">
        <v>785</v>
      </c>
      <c r="I5" s="1882" t="s">
        <v>753</v>
      </c>
      <c r="J5" s="1882" t="s">
        <v>870</v>
      </c>
      <c r="K5" s="1882" t="s">
        <v>754</v>
      </c>
      <c r="L5" s="1882" t="s">
        <v>709</v>
      </c>
      <c r="M5" s="1885" t="s">
        <v>783</v>
      </c>
      <c r="N5" s="1882" t="s">
        <v>927</v>
      </c>
      <c r="O5" s="1882" t="s">
        <v>886</v>
      </c>
      <c r="P5" s="1882" t="s">
        <v>225</v>
      </c>
      <c r="Q5" s="1888" t="s">
        <v>882</v>
      </c>
      <c r="R5" s="1888" t="s">
        <v>928</v>
      </c>
      <c r="S5" s="1882" t="s">
        <v>786</v>
      </c>
      <c r="T5" s="1888" t="s">
        <v>755</v>
      </c>
      <c r="U5" s="1888" t="s">
        <v>1038</v>
      </c>
      <c r="V5" s="1888" t="s">
        <v>1039</v>
      </c>
      <c r="W5" s="1899" t="s">
        <v>811</v>
      </c>
      <c r="X5" s="1917" t="s">
        <v>756</v>
      </c>
      <c r="Y5" s="1899" t="s">
        <v>757</v>
      </c>
      <c r="Z5" s="1899" t="s">
        <v>758</v>
      </c>
      <c r="AA5" s="1882" t="s">
        <v>887</v>
      </c>
      <c r="AB5" s="1882" t="s">
        <v>893</v>
      </c>
      <c r="AC5" s="1882" t="s">
        <v>239</v>
      </c>
      <c r="AD5" s="1905" t="s">
        <v>237</v>
      </c>
      <c r="AE5" s="1882" t="s">
        <v>888</v>
      </c>
      <c r="AF5" s="1908" t="s">
        <v>889</v>
      </c>
      <c r="AG5" s="1911" t="s">
        <v>718</v>
      </c>
      <c r="AH5" s="1882" t="s">
        <v>719</v>
      </c>
      <c r="AI5" s="1882" t="s">
        <v>809</v>
      </c>
      <c r="AJ5" s="1914" t="s">
        <v>810</v>
      </c>
      <c r="AK5" s="1911" t="s">
        <v>240</v>
      </c>
      <c r="AL5" s="1882" t="s">
        <v>762</v>
      </c>
      <c r="AM5" s="1882" t="s">
        <v>318</v>
      </c>
      <c r="AN5" s="1882" t="s">
        <v>319</v>
      </c>
      <c r="AO5" s="1882" t="s">
        <v>320</v>
      </c>
      <c r="AP5" s="1882" t="s">
        <v>763</v>
      </c>
      <c r="AQ5" s="1882" t="s">
        <v>321</v>
      </c>
      <c r="AR5" s="1882" t="s">
        <v>764</v>
      </c>
      <c r="AS5" s="1882" t="s">
        <v>765</v>
      </c>
      <c r="AT5" s="1882" t="s">
        <v>766</v>
      </c>
      <c r="AU5" s="1882" t="s">
        <v>794</v>
      </c>
      <c r="AV5" s="1882" t="s">
        <v>787</v>
      </c>
      <c r="AW5" s="1882" t="s">
        <v>1112</v>
      </c>
      <c r="AX5" s="1882" t="s">
        <v>1116</v>
      </c>
      <c r="AY5" s="1882" t="s">
        <v>1118</v>
      </c>
      <c r="AZ5" s="1882" t="s">
        <v>788</v>
      </c>
      <c r="BA5" s="1882" t="s">
        <v>1159</v>
      </c>
      <c r="BB5" s="1882" t="s">
        <v>767</v>
      </c>
      <c r="BC5" s="1882" t="s">
        <v>717</v>
      </c>
      <c r="BW5" s="1882" t="s">
        <v>1040</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0.24097301406309388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0.17039365232697495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2NkwjKjJj4zfLnS8UOPTWevhceVi3AA/YQf4ZZ0QrLGqBKq2YHe1Pf7idKrCrXsXGmubJC416s4bT3mPlDLZQ==" saltValue="T0UP/Wg0nBqp8m68Z4fe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nQlKh2t4ZMCZqkKdP1VYinkbhWXi0xHaKRSODakE7wtg9CQ8SLpWawCVq505obMbyB8Z99imYqPfAYVUGald7A==" saltValue="aJNLqi0n767U/LHEMTY0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BADAJOZ</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999</v>
      </c>
      <c r="L5" s="1572" t="s">
        <v>1062</v>
      </c>
      <c r="M5" s="1572" t="s">
        <v>1147</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3482</v>
      </c>
      <c r="D9" s="452">
        <f>IF(ISNUMBER(C9/Datos!BH9),C9/Datos!BH9," - ")</f>
        <v>580.33333333333337</v>
      </c>
      <c r="E9" s="451">
        <f>IF(ISNUMBER(IF(J_V="SI",Datos!J9,Datos!J9+Datos!Z9)),IF(J_V="SI",Datos!J9,Datos!J9+Datos!Z9)," - ")</f>
        <v>2338</v>
      </c>
      <c r="F9" s="452">
        <f>IF(ISNUMBER(E9/B9),E9/B9," - ")</f>
        <v>389.66666666666669</v>
      </c>
      <c r="G9" s="451">
        <f>IF(ISNUMBER(IF(J_V="SI",Datos!K9,Datos!K9+Datos!AA9)),IF(J_V="SI",Datos!K9,Datos!K9+Datos!AA9)," - ")</f>
        <v>2223</v>
      </c>
      <c r="H9" s="452">
        <f>IF(ISNUMBER(G9/B9),G9/B9," - ")</f>
        <v>370.5</v>
      </c>
      <c r="I9" s="451">
        <f>IF(ISNUMBER(IF(J_V="SI",Datos!L9,Datos!L9+Datos!AB9)),IF(J_V="SI",Datos!L9,Datos!L9+Datos!AB9)," - ")</f>
        <v>3595</v>
      </c>
      <c r="J9" s="452">
        <f>IF(ISNUMBER(I9/B9),I9/B9," - ")</f>
        <v>599.16666666666663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50</v>
      </c>
      <c r="D10" s="452">
        <f>IF(ISNUMBER(C10/Datos!BH10),C10/Datos!BH10," - ")</f>
        <v>50</v>
      </c>
      <c r="E10" s="451">
        <f>IF(ISNUMBER(Datos!J10),Datos!J10," - ")</f>
        <v>42</v>
      </c>
      <c r="F10" s="452">
        <f>IF(ISNUMBER(E10/B10),E10/B10," - ")</f>
        <v>42</v>
      </c>
      <c r="G10" s="451">
        <f>IF(ISNUMBER(Datos!K10),Datos!K10," - ")</f>
        <v>37</v>
      </c>
      <c r="H10" s="452">
        <f>IF(ISNUMBER(G10/B10),G10/B10," - ")</f>
        <v>37</v>
      </c>
      <c r="I10" s="451">
        <f>IF(ISNUMBER(Datos!L10),Datos!L10," - ")</f>
        <v>55</v>
      </c>
      <c r="J10" s="452">
        <f>IF(ISNUMBER(I10/B10),I10/B10," - ")</f>
        <v>55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553</v>
      </c>
      <c r="D11" s="452">
        <f>IF(ISNUMBER(C11/Datos!BH11),C11/Datos!BH11," - ")</f>
        <v>553</v>
      </c>
      <c r="E11" s="451">
        <f>IF(ISNUMBER(IF(J_V="SI",Datos!J11,Datos!J11+Datos!Z11)),IF(J_V="SI",Datos!J11,Datos!J11+Datos!Z11)," - ")</f>
        <v>369</v>
      </c>
      <c r="F11" s="452">
        <f>IF(ISNUMBER(E11/B11),E11/B11," - ")</f>
        <v>369</v>
      </c>
      <c r="G11" s="451">
        <f>IF(ISNUMBER(IF(J_V="SI",Datos!K11,Datos!K11+Datos!AA11)),IF(J_V="SI",Datos!K11,Datos!K11+Datos!AA11)," - ")</f>
        <v>367</v>
      </c>
      <c r="H11" s="452">
        <f>IF(ISNUMBER(G11/B11),G11/B11," - ")</f>
        <v>367</v>
      </c>
      <c r="I11" s="451">
        <f>IF(ISNUMBER(IF(J_V="SI",Datos!L11,Datos!L11+Datos!AB11)),IF(J_V="SI",Datos!L11,Datos!L11+Datos!AB11)," - ")</f>
        <v>555</v>
      </c>
      <c r="J11" s="452">
        <f>IF(ISNUMBER(I11/B11),I11/B11," - ")</f>
        <v>555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10</v>
      </c>
      <c r="D12" s="452" t="str">
        <f>IF(ISNUMBER(C12/Datos!BH12),C12/Datos!BH12," - ")</f>
        <v xml:space="preserve"> - </v>
      </c>
      <c r="E12" s="451">
        <f>IF(ISNUMBER(IF(J_V="SI",Datos!J12,Datos!J12+Datos!Z12)),IF(J_V="SI",Datos!J12,Datos!J12+Datos!Z12)," - ")</f>
        <v>1</v>
      </c>
      <c r="F12" s="452" t="str">
        <f>IF(ISNUMBER(E12/B12),E12/B12," - ")</f>
        <v xml:space="preserve"> - </v>
      </c>
      <c r="G12" s="451">
        <f>IF(ISNUMBER(IF(J_V="SI",Datos!K12,Datos!K12+Datos!AA12)),IF(J_V="SI",Datos!K12,Datos!K12+Datos!AA12)," - ")</f>
        <v>4</v>
      </c>
      <c r="H12" s="452" t="str">
        <f>IF(ISNUMBER(G12/B12),G12/B12," - ")</f>
        <v xml:space="preserve"> - </v>
      </c>
      <c r="I12" s="451">
        <f>IF(ISNUMBER(IF(J_V="SI",Datos!L12,Datos!L12+Datos!AB12)),IF(J_V="SI",Datos!L12,Datos!L12+Datos!AB12)," - ")</f>
        <v>7</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4095</v>
      </c>
      <c r="D14" s="1147" t="str">
        <f>IF(ISNUMBER(C14/Datos!BI14),C14/Datos!BI14," - ")</f>
        <v xml:space="preserve"> - </v>
      </c>
      <c r="E14" s="1146">
        <f>SUBTOTAL(9,E8:E13)</f>
        <v>2750</v>
      </c>
      <c r="F14" s="1147">
        <f>IF(ISNUMBER(E14/B14),E14/B14," - ")</f>
        <v>343.75</v>
      </c>
      <c r="G14" s="1146">
        <f>SUBTOTAL(9,G8:G13)</f>
        <v>2631</v>
      </c>
      <c r="H14" s="1147">
        <f>IF(ISNUMBER(G14/B14),G14/B14," - ")</f>
        <v>328.875</v>
      </c>
      <c r="I14" s="1146">
        <f>SUBTOTAL(9,I8:I13)</f>
        <v>4212</v>
      </c>
      <c r="J14" s="1147">
        <f>IF(ISNUMBER(I14/B14),I14/B14," - ")</f>
        <v>526.5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1224</v>
      </c>
      <c r="D16" s="452">
        <f>IF(ISNUMBER(C16/Datos!BH16),C16/Datos!BH16," - ")</f>
        <v>306</v>
      </c>
      <c r="E16" s="451">
        <f>IF(ISNUMBER(IF(D_I="SI",Datos!J16,Datos!J16+Datos!AD16)),IF(D_I="SI",Datos!J16,Datos!J16+Datos!AD16)," - ")</f>
        <v>2712</v>
      </c>
      <c r="F16" s="452">
        <f>IF(ISNUMBER(E16/B16),E16/B16," - ")</f>
        <v>678</v>
      </c>
      <c r="G16" s="451">
        <f>IF(ISNUMBER(IF(D_I="SI",Datos!K16,Datos!K16+Datos!AE16)),IF(D_I="SI",Datos!K16,Datos!K16+Datos!AE16)," - ")</f>
        <v>2712</v>
      </c>
      <c r="H16" s="452">
        <f>IF(ISNUMBER(G16/B16),G16/B16," - ")</f>
        <v>678</v>
      </c>
      <c r="I16" s="451">
        <f>IF(ISNUMBER(IF(D_I="SI",Datos!L16,Datos!L16+Datos!AF16)),IF(D_I="SI",Datos!L16,Datos!L16+Datos!AF16)," - ")</f>
        <v>1251</v>
      </c>
      <c r="J16" s="452">
        <f>IF(ISNUMBER(I16/B16),I16/B16," - ")</f>
        <v>312.75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66</v>
      </c>
      <c r="D18" s="452">
        <f>IF(ISNUMBER(C18/Datos!BH18),C18/Datos!BH18," - ")</f>
        <v>66</v>
      </c>
      <c r="E18" s="451">
        <f>IF(ISNUMBER(IF(D_I="SI",Datos!J18,Datos!J18+Datos!AD18)),IF(D_I="SI",Datos!J18,Datos!J18+Datos!AD18)," - ")</f>
        <v>253</v>
      </c>
      <c r="F18" s="452">
        <f>IF(ISNUMBER(E18/B18),E18/B18," - ")</f>
        <v>253</v>
      </c>
      <c r="G18" s="451">
        <f>IF(ISNUMBER(IF(D_I="SI",Datos!K18,Datos!K18+Datos!AE18)),IF(D_I="SI",Datos!K18,Datos!K18+Datos!AE18)," - ")</f>
        <v>279</v>
      </c>
      <c r="H18" s="452">
        <f>IF(ISNUMBER(G18/B18),G18/B18," - ")</f>
        <v>279</v>
      </c>
      <c r="I18" s="451">
        <f>IF(ISNUMBER(IF(D_I="SI",Datos!L18,Datos!L18+Datos!AF18)),IF(D_I="SI",Datos!L18,Datos!L18+Datos!AF18)," - ")</f>
        <v>40</v>
      </c>
      <c r="J18" s="452">
        <f>IF(ISNUMBER(I18/B18),I18/B18," - ")</f>
        <v>40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1290</v>
      </c>
      <c r="D23" s="1147" t="str">
        <f>IF(ISNUMBER(C23/Datos!BI23),C23/Datos!BI23," - ")</f>
        <v xml:space="preserve"> - </v>
      </c>
      <c r="E23" s="1146">
        <f>SUBTOTAL(9,E15:E22)</f>
        <v>2965</v>
      </c>
      <c r="F23" s="1147">
        <f>IF(ISNUMBER(E23/B23),E23/B23," - ")</f>
        <v>593</v>
      </c>
      <c r="G23" s="1146">
        <f>SUBTOTAL(9,G15:G22)</f>
        <v>2991</v>
      </c>
      <c r="H23" s="1147">
        <f>IF(ISNUMBER(G23/B23),G23/B23," - ")</f>
        <v>598.20000000000005</v>
      </c>
      <c r="I23" s="1146">
        <f>SUBTOTAL(9,I15:I22)</f>
        <v>1291</v>
      </c>
      <c r="J23" s="1147">
        <f>IF(ISNUMBER(I23/B23),I23/B23," - ")</f>
        <v>258.2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12</v>
      </c>
      <c r="C31" s="1084">
        <f>SUBTOTAL(9,C9:C30)</f>
        <v>5385</v>
      </c>
      <c r="D31" s="1085" t="str">
        <f>IF(ISNUMBER(C31/Datos!BI31),C31/Datos!BI31," - ")</f>
        <v xml:space="preserve"> - </v>
      </c>
      <c r="E31" s="1084">
        <f>SUBTOTAL(9,E9:E30)</f>
        <v>5715</v>
      </c>
      <c r="F31" s="1085">
        <f>IF(ISNUMBER(E31/B31),E31/B31," - ")</f>
        <v>476.25</v>
      </c>
      <c r="G31" s="1084">
        <f>SUBTOTAL(9,G9:G30)</f>
        <v>5622</v>
      </c>
      <c r="H31" s="1085">
        <f>IF(ISNUMBER(G31/B31),G31/B31," - ")</f>
        <v>468.5</v>
      </c>
      <c r="I31" s="1084">
        <f>SUBTOTAL(9,I9:I30)</f>
        <v>5503</v>
      </c>
      <c r="J31" s="1085">
        <f>IF(ISNUMBER(I31/B31),I31/B31," - ")</f>
        <v>458.58333333333331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nbJNuuFwqIL/YsUOKm0LwqaqFNG7ecG+ypvilWdBzUAOHX1jDPWWG20So7GDTZZmvhl0HRzROaa1hhm0jkBLw==" saltValue="JuvlHdXd3RW8RnB/5mQKV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BADAJOZ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2 al 2</v>
      </c>
      <c r="D5" s="1882" t="s">
        <v>542</v>
      </c>
      <c r="E5" s="1882" t="s">
        <v>752</v>
      </c>
      <c r="F5" s="1893" t="s">
        <v>523</v>
      </c>
      <c r="G5" s="1882" t="s">
        <v>173</v>
      </c>
      <c r="H5" s="1882" t="s">
        <v>901</v>
      </c>
      <c r="I5" s="1882" t="s">
        <v>902</v>
      </c>
      <c r="J5" s="1882" t="s">
        <v>905</v>
      </c>
      <c r="K5" s="1882" t="s">
        <v>906</v>
      </c>
      <c r="L5" s="1882" t="s">
        <v>783</v>
      </c>
      <c r="M5" s="1882" t="s">
        <v>927</v>
      </c>
      <c r="N5" s="1882" t="s">
        <v>907</v>
      </c>
      <c r="O5" s="1882" t="s">
        <v>903</v>
      </c>
      <c r="P5" s="1882" t="s">
        <v>225</v>
      </c>
      <c r="Q5" s="1882" t="s">
        <v>882</v>
      </c>
      <c r="R5" s="1882" t="s">
        <v>928</v>
      </c>
      <c r="S5" s="1882" t="str">
        <f>"Ingreso Computable 2003" &amp; IF(OR(EXACT(LEFT(boletin,2),"04"),EXACT(LEFT(boletin,2),"14"),EXACT(LEFT(boletin,2),"17"))," (Civil + Penal)","")</f>
        <v>Ingreso Computable 2003</v>
      </c>
      <c r="T5" s="1882" t="s">
        <v>904</v>
      </c>
      <c r="U5" s="1888" t="str">
        <f>"% Ingreso Computable 2003" &amp; IF(OR(EXACT(LEFT(boletin,2),"04"),EXACT(LEFT(boletin,2),"14"),EXACT(LEFT(boletin,2),"17"))," (Civil + Penal)","")</f>
        <v>% Ingreso Computable 2003</v>
      </c>
      <c r="V5" s="1888" t="s">
        <v>908</v>
      </c>
      <c r="W5" s="1882" t="s">
        <v>1032</v>
      </c>
      <c r="X5" s="1882" t="s">
        <v>1033</v>
      </c>
      <c r="Y5" s="1902" t="s">
        <v>873</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909</v>
      </c>
      <c r="AC5" s="1939" t="s">
        <v>910</v>
      </c>
      <c r="AD5" s="1939" t="s">
        <v>911</v>
      </c>
      <c r="AE5" s="1939" t="s">
        <v>912</v>
      </c>
      <c r="AF5" s="1882" t="s">
        <v>913</v>
      </c>
      <c r="AG5" s="1882" t="s">
        <v>914</v>
      </c>
      <c r="AH5" s="1882" t="s">
        <v>915</v>
      </c>
      <c r="AI5" s="1882" t="s">
        <v>916</v>
      </c>
      <c r="AJ5" s="1882" t="s">
        <v>239</v>
      </c>
      <c r="AK5" s="1911" t="s">
        <v>718</v>
      </c>
      <c r="AL5" s="1911" t="s">
        <v>240</v>
      </c>
      <c r="AM5" s="1882" t="s">
        <v>762</v>
      </c>
      <c r="AN5" s="1882" t="s">
        <v>318</v>
      </c>
      <c r="AO5" s="1882" t="s">
        <v>319</v>
      </c>
      <c r="AP5" s="1882" t="s">
        <v>917</v>
      </c>
      <c r="AQ5" s="1882" t="s">
        <v>918</v>
      </c>
      <c r="AR5" s="1882" t="s">
        <v>919</v>
      </c>
      <c r="AS5" s="1882" t="s">
        <v>920</v>
      </c>
      <c r="AT5" s="1882" t="s">
        <v>921</v>
      </c>
      <c r="AU5" s="1882" t="s">
        <v>922</v>
      </c>
      <c r="AV5" s="1882" t="s">
        <v>923</v>
      </c>
      <c r="AW5" s="1882" t="s">
        <v>924</v>
      </c>
      <c r="AX5" s="1882" t="s">
        <v>1112</v>
      </c>
      <c r="AY5" s="1882" t="s">
        <v>1116</v>
      </c>
      <c r="AZ5" s="1882" t="s">
        <v>925</v>
      </c>
      <c r="BA5" s="1882" t="s">
        <v>926</v>
      </c>
      <c r="BB5" s="1882" t="s">
        <v>717</v>
      </c>
      <c r="BC5" s="1708" t="s">
        <v>933</v>
      </c>
      <c r="BD5" s="1708" t="s">
        <v>934</v>
      </c>
      <c r="BE5" s="1893" t="s">
        <v>935</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317</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1</v>
      </c>
      <c r="F10" s="905">
        <f>IF(ISNUMBER(Datos!L10+Datos!K10-Datos!J10),Datos!L10+Datos!K10-Datos!J10," - ")</f>
        <v>50</v>
      </c>
      <c r="G10" s="906">
        <f>IF(ISNUMBER(Datos!I10),Datos!I10," - ")</f>
        <v>50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37</v>
      </c>
      <c r="AC10" s="905" t="str">
        <f>IF(ISNUMBER(IF(D_I="SI",DatosP!K18,DatosP!K18+DatosP!AE18)),IF(D_I="SI",DatosP!K18,DatosP!K18+DatosP!AE18)," - ")</f>
        <v xml:space="preserve"> - </v>
      </c>
      <c r="AD10" s="907"/>
      <c r="AE10" s="907"/>
      <c r="AF10" s="910">
        <f>IF(ISNUMBER(Datos!L10),Datos!L10,"-")</f>
        <v>55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4.4594594594594597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-7.0000000000000007E-2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50</v>
      </c>
      <c r="G14" s="1256">
        <f t="shared" si="0"/>
        <v>50</v>
      </c>
      <c r="H14" s="1256">
        <f t="shared" si="0"/>
        <v>0</v>
      </c>
      <c r="I14" s="1258">
        <f t="shared" si="0"/>
        <v>0</v>
      </c>
      <c r="J14" s="1257">
        <f t="shared" si="0"/>
        <v>0</v>
      </c>
      <c r="K14" s="1257">
        <f t="shared" si="0"/>
        <v>0</v>
      </c>
      <c r="L14" s="1259">
        <f t="shared" si="0"/>
        <v>0</v>
      </c>
      <c r="M14" s="1259">
        <f t="shared" si="0"/>
        <v>0</v>
      </c>
      <c r="N14" s="1257">
        <f t="shared" si="0"/>
        <v>11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37</v>
      </c>
      <c r="AC14" s="1257">
        <f t="shared" si="1"/>
        <v>0</v>
      </c>
      <c r="AD14" s="1257">
        <f t="shared" si="1"/>
        <v>9</v>
      </c>
      <c r="AE14" s="1257">
        <f t="shared" si="1"/>
        <v>0</v>
      </c>
      <c r="AF14" s="1257">
        <f t="shared" si="1"/>
        <v>55</v>
      </c>
      <c r="AG14" s="1257">
        <f t="shared" si="1"/>
        <v>0</v>
      </c>
      <c r="AH14" s="1257">
        <f t="shared" si="1"/>
        <v>93</v>
      </c>
      <c r="AI14" s="1257">
        <f t="shared" si="1"/>
        <v>0</v>
      </c>
      <c r="AJ14" s="1257">
        <f t="shared" si="1"/>
        <v>0</v>
      </c>
      <c r="AK14" s="1257">
        <f t="shared" si="1"/>
        <v>0</v>
      </c>
      <c r="AL14" s="1257">
        <f t="shared" si="1"/>
        <v>16</v>
      </c>
      <c r="AM14" s="1257">
        <f t="shared" si="1"/>
        <v>13</v>
      </c>
      <c r="AN14" s="1257">
        <f t="shared" si="1"/>
        <v>0</v>
      </c>
      <c r="AO14" s="1257">
        <f t="shared" si="1"/>
        <v>0</v>
      </c>
      <c r="AP14" s="1262">
        <f>IF(ISNUMBER(((Datos!L14/Datos!K14)*11)/factor_trimestre),((Datos!L14/Datos!K14)*11)/factor_trimestre," - ")</f>
        <v>5.0180698151950729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-0.74</v>
      </c>
      <c r="AU14" s="1257" t="str">
        <f>IF(ISNUMBER((DatosP!#REF!-DatosP!#REF!+DatosP!#REF!)/(DatosP!#REF!+DatosP!#REF!-DatosP!#REF!-DatosP!#REF!)),(DatosP!#REF!-DatosP!#REF!+DatosP!#REF!)/(DatosP!#REF!+DatosP!#REF!-DatosP!#REF!-DatosP!#REF!)," - ")</f>
        <v xml:space="preserve"> - </v>
      </c>
      <c r="AV14" s="1263">
        <f>SUBTOTAL(9,AV9:AV13)</f>
        <v>-7.0000000000000007E-2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1.2948846539618857</v>
      </c>
      <c r="AQ23" s="1262">
        <f>IF(ISNUMBER(((Datos!M23/Datos!L23)*11)/factor_trimestre),((Datos!M23/Datos!L23)*11)/factor_trimestre," - ")</f>
        <v>0.98528272656855165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-0.11764705882352941</v>
      </c>
      <c r="AW23" s="1265">
        <f>IF(ISNUMBER((Datos!Q23-Datos!R23)/(Datos!S23-Datos!Q23+Datos!R23)),(Datos!Q23-Datos!R23)/(Datos!S23-Datos!Q23+Datos!R23)," - ")</f>
        <v>-6.5316786414108428E-3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50</v>
      </c>
      <c r="G31" s="1278">
        <f t="shared" si="8"/>
        <v>50</v>
      </c>
      <c r="H31" s="1278">
        <f t="shared" si="8"/>
        <v>0</v>
      </c>
      <c r="I31" s="1279">
        <f t="shared" si="8"/>
        <v>0</v>
      </c>
      <c r="J31" s="1280">
        <f t="shared" si="8"/>
        <v>0</v>
      </c>
      <c r="K31" s="1280">
        <f t="shared" si="8"/>
        <v>0</v>
      </c>
      <c r="L31" s="1280">
        <f t="shared" si="8"/>
        <v>0</v>
      </c>
      <c r="M31" s="1280">
        <f t="shared" si="8"/>
        <v>0</v>
      </c>
      <c r="N31" s="1279">
        <f t="shared" si="8"/>
        <v>11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37</v>
      </c>
      <c r="AC31" s="1284">
        <f t="shared" si="9"/>
        <v>0</v>
      </c>
      <c r="AD31" s="1284">
        <f t="shared" si="9"/>
        <v>9</v>
      </c>
      <c r="AE31" s="1284">
        <f t="shared" si="9"/>
        <v>0</v>
      </c>
      <c r="AF31" s="1285">
        <f t="shared" si="9"/>
        <v>55</v>
      </c>
      <c r="AG31" s="1285">
        <f t="shared" si="9"/>
        <v>0</v>
      </c>
      <c r="AH31" s="1285">
        <f t="shared" si="9"/>
        <v>93</v>
      </c>
      <c r="AI31" s="1285">
        <f t="shared" si="9"/>
        <v>0</v>
      </c>
      <c r="AJ31" s="1286">
        <f t="shared" si="9"/>
        <v>0</v>
      </c>
      <c r="AK31" s="1286">
        <f t="shared" si="9"/>
        <v>0</v>
      </c>
      <c r="AL31" s="1278">
        <f t="shared" si="9"/>
        <v>16</v>
      </c>
      <c r="AM31" s="1278">
        <f t="shared" si="9"/>
        <v>13</v>
      </c>
      <c r="AN31" s="1278">
        <f t="shared" si="9"/>
        <v>0</v>
      </c>
      <c r="AO31" s="1278">
        <f t="shared" si="9"/>
        <v>0</v>
      </c>
      <c r="AP31" s="1278">
        <f>IF(ISNUMBER(((Datos!L31/Datos!K31)*11)/factor_trimestre),((Datos!L31/Datos!K31)*11)/factor_trimestre," - ")</f>
        <v>2.9657206044968669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-9.31286181726655E-3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3.0322342331100418</v>
      </c>
      <c r="F33" s="1006">
        <f>IF(ISNUMBER(STDEV(F8:F30)),STDEV(F8:F30),"-")</f>
        <v>27.386127875258307</v>
      </c>
      <c r="G33" s="1007">
        <f>IF(ISNUMBER(STDEV(G8:G30)),STDEV(G8:G30),"-")</f>
        <v>27.386127875258307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20.265734627691145</v>
      </c>
      <c r="AC33" s="1008">
        <f>IF(ISNUMBER(STDEV(AC8:AC30)),STDEV(AC8:AC30),"-")</f>
        <v>0</v>
      </c>
      <c r="AD33" s="1011"/>
      <c r="AE33" s="1011"/>
      <c r="AF33" s="1011"/>
      <c r="AG33" s="1011"/>
      <c r="AH33" s="1011"/>
      <c r="AI33" s="1011"/>
      <c r="AJ33" s="1012">
        <f>IF(ISNUMBER(STDEV(AJ8:AJ30)),STDEV(AJ8:AJ30),"-")</f>
        <v>0</v>
      </c>
      <c r="AK33" s="1014"/>
      <c r="AL33" s="1006">
        <f>IF(ISNUMBER(STDEV(AL8:AL30)),STDEV(AL8:AL30),"-")</f>
        <v>8.2623644719091569</v>
      </c>
      <c r="AM33" s="1006"/>
      <c r="AN33" s="1006">
        <f>IF(ISNUMBER(STDEV(AN8:AN30)),STDEV(AN8:AN30),"-")</f>
        <v>0</v>
      </c>
      <c r="AO33" s="1012">
        <f>IF(ISNUMBER(STDEV(AO8:AO30)),STDEV(AO8:AO30),"-")</f>
        <v>0</v>
      </c>
      <c r="AP33" s="1065">
        <f>IF(ISNUMBER(STDEV(AP8:AP30)),STDEV(AP8:AP30),"-")</f>
        <v>1.8373524959226886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M6M6oHe7KY+vw9cAAlifKclUfidXiyCEIGFQE/TBmXm1l/i4rvKU/hZ8lfzSj5YPxawxRkQ/6efgM7miVPYEg==" saltValue="pLYmNSCgxMHrAo/bIV2Y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276</v>
      </c>
      <c r="B3" s="439" t="str">
        <f>Criterios!A10 &amp;"  "&amp;Criterios!B10</f>
        <v>Provincias  BADAJOZ</v>
      </c>
      <c r="C3" s="463"/>
      <c r="F3" s="436"/>
      <c r="G3" s="436"/>
      <c r="H3" s="436"/>
    </row>
    <row r="4" spans="1:15" ht="13.5" thickBot="1">
      <c r="A4" s="436"/>
      <c r="B4" s="439" t="str">
        <f>Criterios!A11 &amp;"  "&amp;Criterios!B11</f>
        <v>Resumenes por Partidos Judiciales  BADAJOZ</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Kts0DFo2Idgx4UZMgDuEpLFixS6+4x2GfrB0kD2CrHPFKDq0ZpF8wFk23WBAskaxOARSyDwPLWklH35Jp9GxQ==" saltValue="KPxlaNtkUWfIgTsSsQiB5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BADAJOZ</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454</v>
      </c>
      <c r="E9" s="452">
        <f t="shared" ref="E9:E14" si="0">IF(ISNUMBER(D9/B9),D9/B9," - ")</f>
        <v>75.666666666666671</v>
      </c>
      <c r="F9" s="451">
        <f>IF(ISNUMBER(Datos!N9),Datos!N9," - ")</f>
        <v>787</v>
      </c>
      <c r="G9" s="452">
        <f t="shared" ref="G9:G14" si="1">IF(ISNUMBER(F9/B9),F9/B9," - ")</f>
        <v>131.16666666666666</v>
      </c>
      <c r="H9" s="451">
        <f>IF(ISNUMBER(Datos!O9),Datos!O9," - ")</f>
        <v>1177</v>
      </c>
      <c r="I9" s="452">
        <f>IF(ISNUMBER(H9/B9),H9/B9," - ")</f>
        <v>196.16666666666666</v>
      </c>
    </row>
    <row r="10" spans="1:9">
      <c r="A10" s="450" t="str">
        <f>Datos!A10</f>
        <v>Jdos. Violencia contra la mujer</v>
      </c>
      <c r="B10" s="480">
        <f>Datos!AO10</f>
        <v>1</v>
      </c>
      <c r="C10" s="458">
        <f>Datos!AQ10</f>
        <v>1</v>
      </c>
      <c r="D10" s="451">
        <f>IF(ISNUMBER(Datos!M10),Datos!M10," - ")</f>
        <v>16</v>
      </c>
      <c r="E10" s="452">
        <f>IF(ISNUMBER(D10/B10),D10/B10," - ")</f>
        <v>16</v>
      </c>
      <c r="F10" s="451">
        <f>IF(ISNUMBER(Datos!N10),Datos!N10," - ")</f>
        <v>12</v>
      </c>
      <c r="G10" s="452">
        <f>IF(ISNUMBER(F10/B10),F10/B10," - ")</f>
        <v>12</v>
      </c>
      <c r="H10" s="451">
        <f>IF(ISNUMBER(Datos!O10),Datos!O10," - ")</f>
        <v>7</v>
      </c>
      <c r="I10" s="452">
        <f t="shared" ref="I10:I13" si="2">IF(ISNUMBER(H10/B10),H10/B10," - ")</f>
        <v>7</v>
      </c>
    </row>
    <row r="11" spans="1:9">
      <c r="A11" s="450" t="str">
        <f>Datos!A11</f>
        <v xml:space="preserve">Jdos. Familia                                   </v>
      </c>
      <c r="B11" s="480">
        <f>Datos!AO11</f>
        <v>1</v>
      </c>
      <c r="C11" s="458">
        <f>Datos!AQ11</f>
        <v>1</v>
      </c>
      <c r="D11" s="451">
        <f>IF(ISNUMBER(Datos!M11),Datos!M11," - ")</f>
        <v>164</v>
      </c>
      <c r="E11" s="452">
        <f t="shared" si="0"/>
        <v>164</v>
      </c>
      <c r="F11" s="451">
        <f>IF(ISNUMBER(Datos!N11),Datos!N11," - ")</f>
        <v>126</v>
      </c>
      <c r="G11" s="452">
        <f t="shared" si="1"/>
        <v>126</v>
      </c>
      <c r="H11" s="451">
        <f>IF(ISNUMBER(Datos!O11),Datos!O11," - ")</f>
        <v>63</v>
      </c>
      <c r="I11" s="452">
        <f t="shared" si="2"/>
        <v>63</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1</v>
      </c>
      <c r="G12" s="452" t="str">
        <f t="shared" si="1"/>
        <v xml:space="preserve"> - </v>
      </c>
      <c r="H12" s="451">
        <f>IF(ISNUMBER(Datos!O12),Datos!O12," - ")</f>
        <v>8</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634</v>
      </c>
      <c r="E14" s="1147">
        <f t="shared" si="0"/>
        <v>79.25</v>
      </c>
      <c r="F14" s="1146">
        <f>SUBTOTAL(9,F9:F13)</f>
        <v>926</v>
      </c>
      <c r="G14" s="1147">
        <f t="shared" si="1"/>
        <v>115.75</v>
      </c>
      <c r="H14" s="1146">
        <f>SUBTOTAL(9,H9:H13)</f>
        <v>1255</v>
      </c>
      <c r="I14" s="1147">
        <f>IF(ISNUMBER(H14/B14),H14/B14," - ")</f>
        <v>156.875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373</v>
      </c>
      <c r="E16" s="452">
        <f t="shared" ref="E16:E23" si="3">IF(ISNUMBER(D16/B16),D16/B16," - ")</f>
        <v>93.25</v>
      </c>
      <c r="F16" s="451">
        <f>IF(ISNUMBER(Datos!N16),Datos!N16," - ")</f>
        <v>1668</v>
      </c>
      <c r="G16" s="452">
        <f t="shared" ref="G16:G23" si="4">IF(ISNUMBER(F16/B16),F16/B16," - ")</f>
        <v>417</v>
      </c>
      <c r="H16" s="451">
        <f>IF(ISNUMBER(Datos!O16),Datos!O16," - ")</f>
        <v>43</v>
      </c>
      <c r="I16" s="452">
        <f t="shared" ref="I16:I22" si="5">IF(ISNUMBER(H16/B16),H16/B16," - ")</f>
        <v>10.75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51</v>
      </c>
      <c r="E18" s="452">
        <f>IF(ISNUMBER(D18/B18),D18/B18," - ")</f>
        <v>51</v>
      </c>
      <c r="F18" s="451">
        <f>IF(ISNUMBER(Datos!N18),Datos!N18," - ")</f>
        <v>174</v>
      </c>
      <c r="G18" s="452">
        <f>IF(ISNUMBER(F18/B18),F18/B18," - ")</f>
        <v>174</v>
      </c>
      <c r="H18" s="451">
        <f>IF(ISNUMBER(Datos!O18),Datos!O18," - ")</f>
        <v>8</v>
      </c>
      <c r="I18" s="452">
        <f t="shared" si="5"/>
        <v>8</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424</v>
      </c>
      <c r="E23" s="1147">
        <f t="shared" si="3"/>
        <v>84.8</v>
      </c>
      <c r="F23" s="1146">
        <f>SUBTOTAL(9,F16:F22)</f>
        <v>1842</v>
      </c>
      <c r="G23" s="1147">
        <f t="shared" si="4"/>
        <v>368.4</v>
      </c>
      <c r="H23" s="1146">
        <f>SUBTOTAL(9,H16:H22)</f>
        <v>51</v>
      </c>
      <c r="I23" s="1147">
        <f>IF(ISNUMBER(H23/B23),H23/B23," - ")</f>
        <v>10.199999999999999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12</v>
      </c>
      <c r="C31" s="1084">
        <f>Datos!AR31</f>
        <v>12</v>
      </c>
      <c r="D31" s="1084">
        <f>SUBTOTAL(9,D8:D30)</f>
        <v>1058</v>
      </c>
      <c r="E31" s="1085">
        <f>IF(ISNUMBER(D31/B31),D31/B31," - ")</f>
        <v>88.166666666666671</v>
      </c>
      <c r="F31" s="1084">
        <f>SUBTOTAL(9,F8:F30)</f>
        <v>2768</v>
      </c>
      <c r="G31" s="1085">
        <f>IF(ISNUMBER(F31/B31),F31/B31," - ")</f>
        <v>230.66666666666666</v>
      </c>
      <c r="H31" s="1084">
        <f>SUBTOTAL(9,H8:H30)</f>
        <v>1306</v>
      </c>
      <c r="I31" s="1085">
        <f>IF(ISNUMBER(H31/B31),H31/B31," - ")</f>
        <v>108.83333333333333</v>
      </c>
    </row>
    <row r="34" spans="1:1">
      <c r="A34" s="439" t="str">
        <f>Criterios!A4</f>
        <v>Fecha Informe: 05 may. 2023</v>
      </c>
    </row>
    <row r="39" spans="1:1">
      <c r="A39" s="462"/>
    </row>
  </sheetData>
  <sheetProtection algorithmName="SHA-512" hashValue="yWCJTHPLYjjSJPB2aRD/iUFvIoizJEtpeGQil/yGNO+fRE70Cp8+H038uTXTpfnFyYWTNWjsCmv+eMdqBwNT5w==" saltValue="NIkTslZh9oX/cz9TmQt/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BADAJOZ</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566</v>
      </c>
      <c r="C9" s="489">
        <f>IF(ISNUMBER(Datos!Q9),Datos!Q9," - ")</f>
        <v>554</v>
      </c>
      <c r="D9" s="456">
        <f>IF(ISNUMBER(Datos!R9),Datos!R9," - ")</f>
        <v>7115</v>
      </c>
    </row>
    <row r="10" spans="1:4">
      <c r="A10" s="450" t="str">
        <f>Datos!A10</f>
        <v>Jdos. Violencia contra la mujer</v>
      </c>
      <c r="B10" s="488">
        <f>IF(ISNUMBER(Datos!P10),Datos!P10," - ")</f>
        <v>9</v>
      </c>
      <c r="C10" s="489">
        <f>IF(ISNUMBER(Datos!Q10),Datos!Q10," - ")</f>
        <v>12</v>
      </c>
      <c r="D10" s="456">
        <f>IF(ISNUMBER(Datos!R10),Datos!R10," - ")</f>
        <v>66</v>
      </c>
    </row>
    <row r="11" spans="1:4">
      <c r="A11" s="450" t="str">
        <f>Datos!A11</f>
        <v xml:space="preserve">Jdos. Familia                                   </v>
      </c>
      <c r="B11" s="488">
        <f>IF(ISNUMBER(Datos!P11),Datos!P11," - ")</f>
        <v>54</v>
      </c>
      <c r="C11" s="489">
        <f>IF(ISNUMBER(Datos!Q11),Datos!Q11," - ")</f>
        <v>100</v>
      </c>
      <c r="D11" s="456">
        <f>IF(ISNUMBER(Datos!R11),Datos!R11," - ")</f>
        <v>373</v>
      </c>
    </row>
    <row r="12" spans="1:4">
      <c r="A12" s="450" t="str">
        <f>Datos!A12</f>
        <v xml:space="preserve">Jdos. 1ª Instª. e Instr.                        </v>
      </c>
      <c r="B12" s="488">
        <f>IF(ISNUMBER(Datos!P12),Datos!P12," - ")</f>
        <v>2</v>
      </c>
      <c r="C12" s="489">
        <f>IF(ISNUMBER(Datos!Q12),Datos!Q12," - ")</f>
        <v>9</v>
      </c>
      <c r="D12" s="456">
        <f>IF(ISNUMBER(Datos!R12),Datos!R12," - ")</f>
        <v>93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631</v>
      </c>
      <c r="C14" s="1150">
        <f>SUBTOTAL(9,C9:C13)</f>
        <v>675</v>
      </c>
      <c r="D14" s="1148">
        <f>SUBTOTAL(9,D9:D13)</f>
        <v>7647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180</v>
      </c>
      <c r="C16" s="489">
        <f>IF(ISNUMBER(Datos!Q16),Datos!Q16," - ")</f>
        <v>207</v>
      </c>
      <c r="D16" s="456">
        <f>IF(ISNUMBER(Datos!R16),Datos!R16," - ")</f>
        <v>208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8</v>
      </c>
      <c r="D18" s="456">
        <f>IF(ISNUMBER(Datos!R18),Datos!R18," - ")</f>
        <v>17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185</v>
      </c>
      <c r="C23" s="1150">
        <f>SUBTOTAL(9,C16:C22)</f>
        <v>215</v>
      </c>
      <c r="D23" s="1148">
        <f>SUBTOTAL(9,D16:D22)</f>
        <v>225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816</v>
      </c>
      <c r="C31" s="1089">
        <f>SUBTOTAL(9,C8:C30)</f>
        <v>890</v>
      </c>
      <c r="D31" s="1090">
        <f>SUBTOTAL(9,D8:D30)</f>
        <v>7872</v>
      </c>
    </row>
    <row r="32" spans="1:4" ht="7.5" customHeight="1"/>
    <row r="33" spans="1:1" ht="6" customHeight="1"/>
    <row r="34" spans="1:1">
      <c r="A34" s="439" t="str">
        <f>Criterios!A4</f>
        <v>Fecha Informe: 05 may. 2023</v>
      </c>
    </row>
    <row r="39" spans="1:1">
      <c r="A39" s="462"/>
    </row>
  </sheetData>
  <sheetProtection algorithmName="SHA-512" hashValue="SM0mJbWsIR8ATSDXSyKnNTJ5xWLIl77uHYl87IKHftdKS0zjSamjw4xKK+COtKp47KHP2DgL8sqF6FoZVDQcYA==" saltValue="gkCf12wU+jjjHGmXrA7J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BADAJOZ</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-0.15444390480815931</v>
      </c>
      <c r="C9" s="515">
        <f>IF(ISNUMBER(
   IF(J_V="SI",(Datos!J9-Datos!T9)/Datos!T9,(Datos!J9+Datos!Z9-(Datos!T9+Datos!AH9))/(Datos!T9+Datos!AH9))
     ),IF(J_V="SI",(Datos!J9-Datos!T9)/Datos!T9,(Datos!J9+Datos!Z9-(Datos!T9+Datos!AH9))/(Datos!T9+Datos!AH9))," - ")</f>
        <v>6.3210550250113684E-2</v>
      </c>
      <c r="D9" s="515">
        <f>IF(ISNUMBER(
   IF(J_V="SI",(Datos!K9-Datos!U9)/Datos!U9,(Datos!K9+Datos!AA9-(Datos!U9+Datos!AI9))/(Datos!U9+Datos!AI9))
     ),IF(J_V="SI",(Datos!K9-Datos!U9)/Datos!U9,(Datos!K9+Datos!AA9-(Datos!U9+Datos!AI9))/(Datos!U9+Datos!AI9))," - ")</f>
        <v>-0.14892802450229708</v>
      </c>
      <c r="E9" s="515">
        <f>IF(ISNUMBER(
   IF(J_V="SI",(Datos!L9-Datos!V9)/Datos!V9,(Datos!L9+Datos!AB9-(Datos!V9+Datos!AJ9))/(Datos!V9+Datos!AJ9))
     ),IF(J_V="SI",(Datos!L9-Datos!V9)/Datos!V9,(Datos!L9+Datos!AB9-(Datos!V9+Datos!AJ9))/(Datos!V9+Datos!AJ9))," - ")</f>
        <v>1.5823679005368747E-2</v>
      </c>
      <c r="F9" s="515">
        <f>IF(ISNUMBER((Datos!M9-Datos!W9)/Datos!W9),(Datos!M9-Datos!W9)/Datos!W9," - ")</f>
        <v>-0.13358778625954199</v>
      </c>
      <c r="G9" s="516">
        <f>IF(ISNUMBER((Datos!N9-Datos!X9)/Datos!X9),(Datos!N9-Datos!X9)/Datos!X9," - ")</f>
        <v>-0.24616858237547892</v>
      </c>
      <c r="H9" s="514">
        <f>IF(ISNUMBER(((NºAsuntos!G9/NºAsuntos!E9)-Datos!BD9)/Datos!BD9),((NºAsuntos!G9/NºAsuntos!E9)-Datos!BD9)/Datos!BD9," - ")</f>
        <v>-0.19952640114651468</v>
      </c>
      <c r="I9" s="515">
        <f>IF(ISNUMBER(((NºAsuntos!I9/NºAsuntos!G9)-Datos!BE9)/Datos!BE9),((NºAsuntos!I9/NºAsuntos!G9)-Datos!BE9)/Datos!BE9," - ")</f>
        <v>0.19358139881332578</v>
      </c>
      <c r="J9" s="521">
        <f>IF(ISNUMBER((('Resol  Asuntos'!D9/NºAsuntos!G9)-Datos!BF9)/Datos!BF9),(('Resol  Asuntos'!D9/NºAsuntos!G9)-Datos!BF9)/Datos!BF9," - ")</f>
        <v>-0.48903745757950229</v>
      </c>
      <c r="K9" s="522">
        <f>IF(ISNUMBER((((NºAsuntos!C9+NºAsuntos!E9)/NºAsuntos!G9)-Datos!BG9)/Datos!BG9),(((NºAsuntos!C9+NºAsuntos!E9)/NºAsuntos!G9)-Datos!BG9)/Datos!BG9," - ")</f>
        <v>8.2544649027739628E-2</v>
      </c>
    </row>
    <row r="10" spans="1:11">
      <c r="A10" s="450" t="str">
        <f>Datos!A10</f>
        <v>Jdos. Violencia contra la mujer</v>
      </c>
      <c r="B10" s="514">
        <f>IF(ISNUMBER((Datos!I10-Datos!S10)/Datos!S10),(Datos!I10-Datos!S10)/Datos!S10," - ")</f>
        <v>0.19047619047619047</v>
      </c>
      <c r="C10" s="515">
        <f>IF(ISNUMBER((Datos!J10-Datos!T10)/Datos!T10),(Datos!J10-Datos!T10)/Datos!T10," - ")</f>
        <v>7.6923076923076927E-2</v>
      </c>
      <c r="D10" s="515">
        <f>IF(ISNUMBER((Datos!K10-Datos!U10)/Datos!U10),(Datos!K10-Datos!U10)/Datos!U10," - ")</f>
        <v>0.15625</v>
      </c>
      <c r="E10" s="515">
        <f>IF(ISNUMBER((Datos!L10-Datos!V10)/Datos!V10),(Datos!L10-Datos!V10)/Datos!V10," - ")</f>
        <v>0.12244897959183673</v>
      </c>
      <c r="F10" s="515">
        <f>IF(ISNUMBER((Datos!M10-Datos!W10)/Datos!W10),(Datos!M10-Datos!W10)/Datos!W10," - ")</f>
        <v>0.33333333333333331</v>
      </c>
      <c r="G10" s="516">
        <f>IF(ISNUMBER((Datos!N10-Datos!X10)/Datos!X10),(Datos!N10-Datos!X10)/Datos!X10," - ")</f>
        <v>-7.6923076923076927E-2</v>
      </c>
      <c r="H10" s="514">
        <f>IF(ISNUMBER(((NºAsuntos!G10/NºAsuntos!E10)-Datos!BD10)/Datos!BD10),((NºAsuntos!G10/NºAsuntos!E10)-Datos!BD10)/Datos!BD10," - ")</f>
        <v>7.3660714285714302E-2</v>
      </c>
      <c r="I10" s="515">
        <f>IF(ISNUMBER(((NºAsuntos!I10/NºAsuntos!G10)-Datos!BE10)/Datos!BE10),((NºAsuntos!I10/NºAsuntos!G10)-Datos!BE10)/Datos!BE10," - ")</f>
        <v>-2.9233314947600716E-2</v>
      </c>
      <c r="J10" s="521">
        <f>IF(ISNUMBER((('Resol  Asuntos'!D10/NºAsuntos!G10)-Datos!BF10)/Datos!BF10),(('Resol  Asuntos'!D10/NºAsuntos!G10)-Datos!BF10)/Datos!BF10," - ")</f>
        <v>0.15315315315315323</v>
      </c>
      <c r="K10" s="522">
        <f>IF(ISNUMBER((((NºAsuntos!C10+NºAsuntos!E10)/NºAsuntos!G10)-Datos!BG10)/Datos!BG10),(((NºAsuntos!C10+NºAsuntos!E10)/NºAsuntos!G10)-Datos!BG10)/Datos!BG10," - ")</f>
        <v>-1.7684351017684383E-2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-0.16591251885369532</v>
      </c>
      <c r="C11" s="515">
        <f>IF(ISNUMBER(
   IF(J_V="SI",(Datos!J11-Datos!T11)/Datos!T11,(Datos!J11+Datos!Z11-(Datos!T11+Datos!AH11))/(Datos!T11+Datos!AH11))
     ),IF(J_V="SI",(Datos!J11-Datos!T11)/Datos!T11,(Datos!J11+Datos!Z11-(Datos!T11+Datos!AH11))/(Datos!T11+Datos!AH11))," - ")</f>
        <v>4.2372881355932202E-2</v>
      </c>
      <c r="D11" s="515">
        <f>IF(ISNUMBER(
   IF(J_V="SI",(Datos!K11-Datos!U11)/Datos!U11,(Datos!K11+Datos!AA11-(Datos!U11+Datos!AI11))/(Datos!U11+Datos!AI11))
     ),IF(J_V="SI",(Datos!K11-Datos!U11)/Datos!U11,(Datos!K11+Datos!AA11-(Datos!U11+Datos!AI11))/(Datos!U11+Datos!AI11))," - ")</f>
        <v>-1.3440860215053764E-2</v>
      </c>
      <c r="E11" s="515">
        <f>IF(ISNUMBER(
   IF(J_V="SI",(Datos!L11-Datos!V11)/Datos!V11,(Datos!L11+Datos!AB11-(Datos!V11+Datos!AJ11))/(Datos!V11+Datos!AJ11))
     ),IF(J_V="SI",(Datos!L11-Datos!V11)/Datos!V11,(Datos!L11+Datos!AB11-(Datos!V11+Datos!AJ11))/(Datos!V11+Datos!AJ11))," - ")</f>
        <v>-0.13685847589424571</v>
      </c>
      <c r="F11" s="515">
        <f>IF(ISNUMBER((Datos!M11-Datos!W11)/Datos!W11),(Datos!M11-Datos!W11)/Datos!W11," - ")</f>
        <v>-6.0606060606060606E-3</v>
      </c>
      <c r="G11" s="516">
        <f>IF(ISNUMBER((Datos!N11-Datos!X11)/Datos!X11),(Datos!N11-Datos!X11)/Datos!X11," - ")</f>
        <v>0</v>
      </c>
      <c r="H11" s="514">
        <f>IF(ISNUMBER(((NºAsuntos!G11/NºAsuntos!E11)-Datos!BD11)/Datos!BD11),((NºAsuntos!G11/NºAsuntos!E11)-Datos!BD11)/Datos!BD11," - ")</f>
        <v>-5.3544890287612661E-2</v>
      </c>
      <c r="I11" s="515">
        <f>IF(ISNUMBER(((NºAsuntos!I11/NºAsuntos!G11)-Datos!BE11)/Datos!BE11),((NºAsuntos!I11/NºAsuntos!G11)-Datos!BE11)/Datos!BE11," - ")</f>
        <v>-0.12509905458490303</v>
      </c>
      <c r="J11" s="521">
        <f>IF(ISNUMBER((('Resol  Asuntos'!D11/NºAsuntos!G11)-Datos!BF11)/Datos!BF11),(('Resol  Asuntos'!D11/NºAsuntos!G11)-Datos!BF11)/Datos!BF11," - ")</f>
        <v>0.31932009861165184</v>
      </c>
      <c r="K11" s="522">
        <f>IF(ISNUMBER((((NºAsuntos!C11+NºAsuntos!E11)/NºAsuntos!G11)-Datos!BG11)/Datos!BG11),(((NºAsuntos!C11+NºAsuntos!E11)/NºAsuntos!G11)-Datos!BG11)/Datos!BG11," - ")</f>
        <v>-8.1060660863414596E-2</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v>
      </c>
      <c r="C12" s="515">
        <f>IF(ISNUMBER(
   IF(J_V="SI",(Datos!J12-Datos!T12)/Datos!T12,(Datos!J12+Datos!Z12-(Datos!T12+Datos!AH12))/(Datos!T12+Datos!AH12))
     ),IF(J_V="SI",(Datos!J12-Datos!T12)/Datos!T12,(Datos!J12+Datos!Z12-(Datos!T12+Datos!AH12))/(Datos!T12+Datos!AH12))," - ")</f>
        <v>-0.875</v>
      </c>
      <c r="D12" s="515">
        <f>IF(ISNUMBER(
   IF(J_V="SI",(Datos!K12-Datos!U12)/Datos!U12,(Datos!K12+Datos!AA12-(Datos!U12+Datos!AI12))/(Datos!U12+Datos!AI12))
     ),IF(J_V="SI",(Datos!K12-Datos!U12)/Datos!U12,(Datos!K12+Datos!AA12-(Datos!U12+Datos!AI12))/(Datos!U12+Datos!AI12))," - ")</f>
        <v>0.33333333333333331</v>
      </c>
      <c r="E12" s="515">
        <f>IF(ISNUMBER(
   IF(J_V="SI",(Datos!L12-Datos!V12)/Datos!V12,(Datos!L12+Datos!AB12-(Datos!V12+Datos!AJ12))/(Datos!V12+Datos!AJ12))
     ),IF(J_V="SI",(Datos!L12-Datos!V12)/Datos!V12,(Datos!L12+Datos!AB12-(Datos!V12+Datos!AJ12))/(Datos!V12+Datos!AJ12))," - ")</f>
        <v>-0.53333333333333333</v>
      </c>
      <c r="F12" s="515" t="str">
        <f>IF(ISNUMBER((Datos!M12-Datos!W12)/Datos!W12),(Datos!M12-Datos!W12)/Datos!W12," - ")</f>
        <v xml:space="preserve"> - </v>
      </c>
      <c r="G12" s="516" t="str">
        <f>IF(ISNUMBER((Datos!N12-Datos!X12)/Datos!X12),(Datos!N12-Datos!X12)/Datos!X12," - ")</f>
        <v xml:space="preserve"> - </v>
      </c>
      <c r="H12" s="514">
        <f>IF(ISNUMBER(((NºAsuntos!G12/NºAsuntos!E12)-Datos!BD12)/Datos!BD12),((NºAsuntos!G12/NºAsuntos!E12)-Datos!BD12)/Datos!BD12," - ")</f>
        <v>9.6666666666666661</v>
      </c>
      <c r="I12" s="515">
        <f>IF(ISNUMBER(((NºAsuntos!I12/NºAsuntos!G12)-Datos!BE12)/Datos!BE12),((NºAsuntos!I12/NºAsuntos!G12)-Datos!BE12)/Datos!BE12," - ")</f>
        <v>-0.65</v>
      </c>
      <c r="J12" s="521" t="str">
        <f>IF(ISNUMBER((('Resol  Asuntos'!D12/NºAsuntos!G12)-Datos!BF12)/Datos!BF12),(('Resol  Asuntos'!D12/NºAsuntos!G12)-Datos!BF12)/Datos!BF12," - ")</f>
        <v xml:space="preserve"> - </v>
      </c>
      <c r="K12" s="522">
        <f>IF(ISNUMBER((((NºAsuntos!C12+NºAsuntos!E12)/NºAsuntos!G12)-Datos!BG12)/Datos!BG12),(((NºAsuntos!C12+NºAsuntos!E12)/NºAsuntos!G12)-Datos!BG12)/Datos!BG12," - ")</f>
        <v>-0.54166666666666663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-0.1527001862197393</v>
      </c>
      <c r="C14" s="1152">
        <f>IF(ISNUMBER(
   IF(J_V="SI",(Datos!J14-Datos!T14)/Datos!T14,(Datos!J14+Datos!Z14-(Datos!T14+Datos!AH14))/(Datos!T14+Datos!AH14))
     ),IF(J_V="SI",(Datos!J14-Datos!T14)/Datos!T14,(Datos!J14+Datos!Z14-(Datos!T14+Datos!AH14))/(Datos!T14+Datos!AH14))," - ")</f>
        <v>5.7692307692307696E-2</v>
      </c>
      <c r="D14" s="1152">
        <f>IF(ISNUMBER(
   IF(J_V="SI",(Datos!K14-Datos!U14)/Datos!U14,(Datos!K14+Datos!AA14-(Datos!U14+Datos!AI14))/(Datos!U14+Datos!AI14))
     ),IF(J_V="SI",(Datos!K14-Datos!U14)/Datos!U14,(Datos!K14+Datos!AA14-(Datos!U14+Datos!AI14))/(Datos!U14+Datos!AI14))," - ")</f>
        <v>-0.12851937727724411</v>
      </c>
      <c r="E14" s="1152">
        <f>IF(ISNUMBER(
   IF(J_V="SI",(Datos!L14-Datos!V14)/Datos!V14,(Datos!L14+Datos!AB14-(Datos!V14+Datos!AJ14))/(Datos!V14+Datos!AJ14))
     ),IF(J_V="SI",(Datos!L14-Datos!V14)/Datos!V14,(Datos!L14+Datos!AB14-(Datos!V14+Datos!AJ14))/(Datos!V14+Datos!AJ14))," - ")</f>
        <v>-8.0075365049458308E-3</v>
      </c>
      <c r="F14" s="1153">
        <f>IF(ISNUMBER((Datos!M14-Datos!W14)/Datos!W14),(Datos!M14-Datos!W14)/Datos!W14," - ")</f>
        <v>-9.5577746077032816E-2</v>
      </c>
      <c r="G14" s="1154">
        <f>IF(ISNUMBER((Datos!N14-Datos!X14)/Datos!X14),(Datos!N14-Datos!X14)/Datos!X14," - ")</f>
        <v>-0.21724429416737109</v>
      </c>
      <c r="H14" s="1154">
        <f>IF(ISNUMBER(((NºAsuntos!G14/NºAsuntos!E14)-Datos!BD14)/Datos!BD14),((NºAsuntos!G14/NºAsuntos!E14)-Datos!BD14)/Datos!BD14," - ")</f>
        <v>-0.17605468397121263</v>
      </c>
      <c r="I14" s="1154">
        <f>IF(ISNUMBER(((NºAsuntos!I14/NºAsuntos!G14)-Datos!BE14)/Datos!BE14),((NºAsuntos!I14/NºAsuntos!G14)-Datos!BE14)/Datos!BE14," - ")</f>
        <v>0.13828401645441596</v>
      </c>
      <c r="J14" s="1154">
        <f>IF(ISNUMBER((('Resol  Asuntos'!D14/NºAsuntos!G14)-Datos!BF14)/Datos!BF14),(('Resol  Asuntos'!D14/NºAsuntos!G14)-Datos!BF14)/Datos!BF14," - ")</f>
        <v>-0.38451985663580335</v>
      </c>
      <c r="K14" s="1154">
        <f>IF(ISNUMBER((((NºAsuntos!C14+NºAsuntos!E14)/NºAsuntos!G14)-Datos!BG14)/Datos!BG14),(((NºAsuntos!C14+NºAsuntos!E14)/NºAsuntos!G14)-Datos!BG14)/Datos!BG14," - ")</f>
        <v>5.6699701164176872E-2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-0.17129316181448884</v>
      </c>
      <c r="C16" s="515">
        <f>IF(ISNUMBER(
   IF(D_I="SI",(Datos!J16-Datos!T16)/Datos!T16,(Datos!J16+Datos!AD16-(Datos!T16+Datos!AL16))/(Datos!T16+Datos!AL16))
     ),IF(D_I="SI",(Datos!J16-Datos!T16)/Datos!T16,(Datos!J16+Datos!AD16-(Datos!T16+Datos!AL16))/(Datos!T16+Datos!AL16))," - ")</f>
        <v>3.3142857142857141E-2</v>
      </c>
      <c r="D16" s="515">
        <f>IF(ISNUMBER(
   IF(D_I="SI",(Datos!K16-Datos!U16)/Datos!U16,(Datos!K16+Datos!AE16-(Datos!U16+Datos!AM16))/(Datos!U16+Datos!AM16))
     ),IF(D_I="SI",(Datos!K16-Datos!U16)/Datos!U16,(Datos!K16+Datos!AE16-(Datos!U16+Datos!AM16))/(Datos!U16+Datos!AM16))," - ")</f>
        <v>-4.4397463002114168E-2</v>
      </c>
      <c r="E16" s="515">
        <f>IF(ISNUMBER(
   IF(D_I="SI",(Datos!L16-Datos!V16)/Datos!V16,(Datos!L16+Datos!AF16-(Datos!V16+Datos!AN16))/(Datos!V16+Datos!AN16))
     ),IF(D_I="SI",(Datos!L16-Datos!V16)/Datos!V16,(Datos!L16+Datos!AF16-(Datos!V16+Datos!AN16))/(Datos!V16+Datos!AN16))," - ")</f>
        <v>-3.5466461063993829E-2</v>
      </c>
      <c r="F16" s="515">
        <f>IF(ISNUMBER((Datos!M16-Datos!W16)/Datos!W16),(Datos!M16-Datos!W16)/Datos!W16," - ")</f>
        <v>-9.9033816425120769E-2</v>
      </c>
      <c r="G16" s="516">
        <f>IF(ISNUMBER((Datos!N16-Datos!X16)/Datos!X16),(Datos!N16-Datos!X16)/Datos!X16," - ")</f>
        <v>1.7073170731707318E-2</v>
      </c>
      <c r="H16" s="514">
        <f>IF(ISNUMBER(((NºAsuntos!G16/NºAsuntos!E16)-Datos!BD16)/Datos!BD16),((NºAsuntos!G16/NºAsuntos!E16)-Datos!BD16)/Datos!BD16," - ")</f>
        <v>-7.5052854122621596E-2</v>
      </c>
      <c r="I16" s="515">
        <f>IF(ISNUMBER(((NºAsuntos!I16/NºAsuntos!G16)-Datos!BE16)/Datos!BE16),((NºAsuntos!I16/NºAsuntos!G16)-Datos!BE16)/Datos!BE16," - ")</f>
        <v>9.3459378688737736E-3</v>
      </c>
      <c r="J16" s="521">
        <f>IF(ISNUMBER((('Resol  Asuntos'!D16/NºAsuntos!G16)-Datos!BF16)/Datos!BF16),(('Resol  Asuntos'!D16/NºAsuntos!G16)-Datos!BF16)/Datos!BF16," - ")</f>
        <v>-5.7174768073190385E-2</v>
      </c>
      <c r="K16" s="522">
        <f>IF(ISNUMBER((((NºAsuntos!C16+NºAsuntos!E16)/NºAsuntos!G16)-Datos!BG16)/Datos!BG16),(((NºAsuntos!C16+NºAsuntos!E16)/NºAsuntos!G16)-Datos!BG16)/Datos!BG16," - ")</f>
        <v>4.1119591996996588E-3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0.11453744493392071</v>
      </c>
      <c r="D18" s="515">
        <f>IF(ISNUMBER(
   IF(D_I="SI",(Datos!K18-Datos!U18)/Datos!U18,(Datos!K18+Datos!AE18-(Datos!U18+Datos!AM18))/(Datos!U18+Datos!AM18))
     ),IF(D_I="SI",(Datos!K18-Datos!U18)/Datos!U18,(Datos!K18+Datos!AE18-(Datos!U18+Datos!AM18))/(Datos!U18+Datos!AM18))," - ")</f>
        <v>0.23451327433628319</v>
      </c>
      <c r="E18" s="515">
        <f>IF(ISNUMBER(
   IF(D_I="SI",(Datos!L18-Datos!V18)/Datos!V18,(Datos!L18+Datos!AF18-(Datos!V18+Datos!AN18))/(Datos!V18+Datos!AN18))
     ),IF(D_I="SI",(Datos!L18-Datos!V18)/Datos!V18,(Datos!L18+Datos!AF18-(Datos!V18+Datos!AN18))/(Datos!V18+Datos!AN18))," - ")</f>
        <v>-0.1111111111111111</v>
      </c>
      <c r="F18" s="515">
        <f>IF(ISNUMBER((Datos!M18-Datos!W18)/Datos!W18),(Datos!M18-Datos!W18)/Datos!W18," - ")</f>
        <v>0.41666666666666669</v>
      </c>
      <c r="G18" s="516">
        <f>IF(ISNUMBER((Datos!N18-Datos!X18)/Datos!X18),(Datos!N18-Datos!X18)/Datos!X18," - ")</f>
        <v>0.27941176470588236</v>
      </c>
      <c r="H18" s="514">
        <f>IF(ISNUMBER(((NºAsuntos!G18/NºAsuntos!E18)-Datos!BD18)/Datos!BD18),((NºAsuntos!G18/NºAsuntos!E18)-Datos!BD18)/Datos!BD18," - ")</f>
        <v>0.107646297527021</v>
      </c>
      <c r="I18" s="515">
        <f>IF(ISNUMBER(((NºAsuntos!I18/NºAsuntos!G18)-Datos!BE18)/Datos!BE18),((NºAsuntos!I18/NºAsuntos!G18)-Datos!BE18)/Datos!BE18," - ")</f>
        <v>-0.27996814018319399</v>
      </c>
      <c r="J18" s="521">
        <f>IF(ISNUMBER((('Resol  Asuntos'!D18/NºAsuntos!G18)-Datos!BF18)/Datos!BF18),(('Resol  Asuntos'!D18/NºAsuntos!G18)-Datos!BF18)/Datos!BF18," - ")</f>
        <v>0.1475507765830347</v>
      </c>
      <c r="K18" s="522">
        <f>IF(ISNUMBER((((NºAsuntos!C18+NºAsuntos!E18)/NºAsuntos!G18)-Datos!BG18)/Datos!BG18),(((NºAsuntos!C18+NºAsuntos!E18)/NºAsuntos!G18)-Datos!BG18)/Datos!BG18," - ")</f>
        <v>-4.6489174569165008E-2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-0.15187376725838264</v>
      </c>
      <c r="C23" s="1152">
        <f>IF(ISNUMBER(
   IF(Criterios!B14="SI",(Datos!J23-Datos!T23)/Datos!T23,(Datos!J23+Datos!AD23-(Datos!T23+Datos!AL23))/(Datos!T23+Datos!AL23))
     ),IF(Criterios!B14="SI",(Datos!J23-Datos!T23)/Datos!T23,(Datos!J23+Datos!AD23-(Datos!T23+Datos!AL23))/(Datos!T23+Datos!AL23))," - ")</f>
        <v>3.9621318373071528E-2</v>
      </c>
      <c r="D23" s="1152">
        <f>IF(ISNUMBER(
   IF(Criterios!B14="SI",(Datos!K23-Datos!U23)/Datos!U23,(Datos!K23+Datos!AE23-(Datos!U23+Datos!AM23))/(Datos!U23+Datos!AM23))
     ),IF(Criterios!B14="SI",(Datos!K23-Datos!U23)/Datos!U23,(Datos!K23+Datos!AE23-(Datos!U23+Datos!AM23))/(Datos!U23+Datos!AM23))," - ")</f>
        <v>-2.3825065274151437E-2</v>
      </c>
      <c r="E23" s="1152">
        <f>IF(ISNUMBER(
   IF(Criterios!B14="SI",(Datos!L23-Datos!V23)/Datos!V23,(Datos!L23+Datos!AF23-(Datos!V23+Datos!AN23))/(Datos!V23+Datos!AN23))
     ),IF(Criterios!B14="SI",(Datos!L23-Datos!V23)/Datos!V23,(Datos!L23+Datos!AF23-(Datos!V23+Datos!AN23))/(Datos!V23+Datos!AN23))," - ")</f>
        <v>-3.8002980625931444E-2</v>
      </c>
      <c r="F23" s="1153">
        <f>IF(ISNUMBER((Datos!M23-Datos!W23)/Datos!W23),(Datos!M23-Datos!W23)/Datos!W23," - ")</f>
        <v>-5.7777777777777775E-2</v>
      </c>
      <c r="G23" s="1154">
        <f>IF(ISNUMBER((Datos!N23-Datos!X23)/Datos!X23),(Datos!N23-Datos!X23)/Datos!X23," - ")</f>
        <v>3.7162162162162164E-2</v>
      </c>
      <c r="H23" s="1154">
        <f>IF(ISNUMBER(((NºAsuntos!G23/NºAsuntos!E23)-Datos!BD23)/Datos!BD23),((NºAsuntos!G23/NºAsuntos!E23)-Datos!BD23)/Datos!BD23," - ")</f>
        <v>-6.102835958242158E-2</v>
      </c>
      <c r="I23" s="1154">
        <f>IF(ISNUMBER(((NºAsuntos!I23/NºAsuntos!G23)-Datos!BE23)/Datos!BE23),((NºAsuntos!I23/NºAsuntos!G23)-Datos!BE23)/Datos!BE23," - ")</f>
        <v>-1.4523949394133691E-2</v>
      </c>
      <c r="J23" s="1154">
        <f>IF(ISNUMBER((('Resol  Asuntos'!D23/NºAsuntos!G23)-Datos!BF23)/Datos!BF23),(('Resol  Asuntos'!D23/NºAsuntos!G23)-Datos!BF23)/Datos!BF23," - ")</f>
        <v>-3.4781381180578823E-2</v>
      </c>
      <c r="K23" s="1154">
        <f>IF(ISNUMBER((((NºAsuntos!C23+NºAsuntos!E23)/NºAsuntos!G23)-Datos!BG23)/Datos!BG23),(((NºAsuntos!C23+NºAsuntos!E23)/NºAsuntos!G23)-Datos!BG23)/Datos!BG23," - ")</f>
        <v>-3.235791680246953E-3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-0.15250236071765816</v>
      </c>
      <c r="C31" s="1092">
        <f>IF(ISNUMBER(
   IF(J_V="SI",(Datos!J31-Datos!T31)/Datos!T31,(Datos!J31+Datos!Z31-(Datos!T31+Datos!AH31))/(Datos!T31+Datos!AH31))
     ),IF(J_V="SI",(Datos!J31-Datos!T31)/Datos!T31,(Datos!J31+Datos!Z31-(Datos!T31+Datos!AH31))/(Datos!T31+Datos!AH31))," - ")</f>
        <v>4.8239178283198826E-2</v>
      </c>
      <c r="D31" s="1092">
        <f>IF(ISNUMBER(
   IF(J_V="SI",(Datos!K31-Datos!U31)/Datos!U31,(Datos!K31+Datos!AA31-(Datos!U31+Datos!AI31))/(Datos!U31+Datos!AI31))
     ),IF(J_V="SI",(Datos!K31-Datos!U31)/Datos!U31,(Datos!K31+Datos!AA31-(Datos!U31+Datos!AI31))/(Datos!U31+Datos!AI31))," - ")</f>
        <v>-7.578497451915174E-2</v>
      </c>
      <c r="E31" s="1092">
        <f>IF(ISNUMBER(
   IF(J_V="SI",(Datos!L31-Datos!V31)/Datos!V31,(Datos!L31+Datos!AB31-(Datos!V31+Datos!AJ31))/(Datos!V31+Datos!AJ31))
     ),IF(J_V="SI",(Datos!L31-Datos!V31)/Datos!V31,(Datos!L31+Datos!AB31-(Datos!V31+Datos!AJ31))/(Datos!V31+Datos!AJ31))," - ")</f>
        <v>-1.5211166785969935E-2</v>
      </c>
      <c r="F31" s="1093">
        <f>IF(ISNUMBER((Datos!M31-Datos!W31)/Datos!W31),(Datos!M31-Datos!W31)/Datos!W31," - ")</f>
        <v>-8.0799304952215462E-2</v>
      </c>
      <c r="G31" s="1094">
        <f>IF(ISNUMBER((Datos!N31-Datos!X31)/Datos!X31),(Datos!N31-Datos!X31)/Datos!X31," - ")</f>
        <v>-6.4548834065562694E-2</v>
      </c>
      <c r="H31" s="1095">
        <f>IF(ISNUMBER((Tasas!B31-Datos!BD31)/Datos!BD31),(Tasas!B31-Datos!BD31)/Datos!BD31," - ")</f>
        <v>-0.11831665460689676</v>
      </c>
      <c r="I31" s="1096">
        <f>IF(ISNUMBER((Tasas!C31-Datos!BE31)/Datos!BE31),(Tasas!C31-Datos!BE31)/Datos!BE31," - ")</f>
        <v>6.5540816869609539E-2</v>
      </c>
      <c r="J31" s="1097">
        <f>IF(ISNUMBER((Tasas!D31-Datos!BF31)/Datos!BF31),(Tasas!D31-Datos!BF31)/Datos!BF31," - ")</f>
        <v>-0.29855683379719733</v>
      </c>
      <c r="K31" s="1097">
        <f>IF(ISNUMBER((Tasas!E31-Datos!BG31)/Datos!BG31),(Tasas!E31-Datos!BG31)/Datos!BG31," - ")</f>
        <v>1.7295621078658535E-2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DF66+qZ2rfGYb4DUMOqoFQPcDIhhiiE4VObyXl5WCpWzgiuudbENefADaFUVKAL0YUaHBCkzcIpiQTCcNn4Ow==" saltValue="FbEWX0vkYUOOtrSxduisi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BADAJOZ</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0.95081266039349877</v>
      </c>
      <c r="C9" s="498">
        <f>IF(ISNUMBER(NºAsuntos!I9/NºAsuntos!G9),NºAsuntos!I9/NºAsuntos!G9," - ")</f>
        <v>1.6171839856050383</v>
      </c>
      <c r="D9" s="499">
        <f>IF(ISNUMBER('Resol  Asuntos'!D9/NºAsuntos!G9),'Resol  Asuntos'!D9/NºAsuntos!G9," - ")</f>
        <v>0.20422852001799371</v>
      </c>
      <c r="E9" s="500">
        <f>IF(ISNUMBER((NºAsuntos!C9+NºAsuntos!E9)/NºAsuntos!G9),(NºAsuntos!C9+NºAsuntos!E9)/NºAsuntos!G9," - ")</f>
        <v>2.6180836707152495</v>
      </c>
      <c r="G9" s="523"/>
    </row>
    <row r="10" spans="1:7">
      <c r="A10" s="450" t="str">
        <f>Datos!A10</f>
        <v>Jdos. Violencia contra la mujer</v>
      </c>
      <c r="B10" s="497">
        <f>IF(ISNUMBER(NºAsuntos!G10/NºAsuntos!E10),NºAsuntos!G10/NºAsuntos!E10," - ")</f>
        <v>0.88095238095238093</v>
      </c>
      <c r="C10" s="498">
        <f>IF(ISNUMBER(NºAsuntos!I10/NºAsuntos!G10),NºAsuntos!I10/NºAsuntos!G10," - ")</f>
        <v>1.4864864864864864</v>
      </c>
      <c r="D10" s="499">
        <f>IF(ISNUMBER('Resol  Asuntos'!D10/NºAsuntos!G10),'Resol  Asuntos'!D10/NºAsuntos!G10," - ")</f>
        <v>0.43243243243243246</v>
      </c>
      <c r="E10" s="500">
        <f>IF(ISNUMBER((NºAsuntos!C10+NºAsuntos!E10)/NºAsuntos!G10),(NºAsuntos!C10+NºAsuntos!E10)/NºAsuntos!G10," - ")</f>
        <v>2.4864864864864864</v>
      </c>
      <c r="G10" s="523"/>
    </row>
    <row r="11" spans="1:7">
      <c r="A11" s="450" t="str">
        <f>Datos!A11</f>
        <v xml:space="preserve">Jdos. Familia                                   </v>
      </c>
      <c r="B11" s="497">
        <f>IF(ISNUMBER(NºAsuntos!G11/NºAsuntos!E11),NºAsuntos!G11/NºAsuntos!E11," - ")</f>
        <v>0.99457994579945797</v>
      </c>
      <c r="C11" s="498">
        <f>IF(ISNUMBER(NºAsuntos!I11/NºAsuntos!G11),NºAsuntos!I11/NºAsuntos!G11," - ")</f>
        <v>1.5122615803814714</v>
      </c>
      <c r="D11" s="499">
        <f>IF(ISNUMBER('Resol  Asuntos'!D11/NºAsuntos!G11),'Resol  Asuntos'!D11/NºAsuntos!G11," - ")</f>
        <v>0.44686648501362397</v>
      </c>
      <c r="E11" s="500">
        <f>IF(ISNUMBER((NºAsuntos!C11+NºAsuntos!E11)/NºAsuntos!G11),(NºAsuntos!C11+NºAsuntos!E11)/NºAsuntos!G11," - ")</f>
        <v>2.5122615803814714</v>
      </c>
      <c r="G11" s="523"/>
    </row>
    <row r="12" spans="1:7">
      <c r="A12" s="450" t="str">
        <f>Datos!A12</f>
        <v xml:space="preserve">Jdos. 1ª Instª. e Instr.                        </v>
      </c>
      <c r="B12" s="497">
        <f>IF(ISNUMBER(NºAsuntos!G12/NºAsuntos!E12),NºAsuntos!G12/NºAsuntos!E12," - ")</f>
        <v>4</v>
      </c>
      <c r="C12" s="498">
        <f>IF(ISNUMBER(NºAsuntos!I12/NºAsuntos!G12),NºAsuntos!I12/NºAsuntos!G12," - ")</f>
        <v>1.75</v>
      </c>
      <c r="D12" s="499">
        <f>IF(ISNUMBER('Resol  Asuntos'!D12/NºAsuntos!G12),'Resol  Asuntos'!D12/NºAsuntos!G12," - ")</f>
        <v>0</v>
      </c>
      <c r="E12" s="500">
        <f>IF(ISNUMBER((NºAsuntos!C12+NºAsuntos!E12)/NºAsuntos!G12),(NºAsuntos!C12+NºAsuntos!E12)/NºAsuntos!G12," - ")</f>
        <v>2.75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0.95672727272727276</v>
      </c>
      <c r="C14" s="1156">
        <f>IF(ISNUMBER(NºAsuntos!I14/NºAsuntos!G14),NºAsuntos!I14/NºAsuntos!G14," - ")</f>
        <v>1.6009122006841505</v>
      </c>
      <c r="D14" s="1157">
        <f>IF(ISNUMBER('Resol  Asuntos'!D14/NºAsuntos!G14),'Resol  Asuntos'!D14/NºAsuntos!G14," - ")</f>
        <v>0.24097301406309388</v>
      </c>
      <c r="E14" s="1158">
        <f>IF(ISNUMBER((NºAsuntos!C14+NºAsuntos!E14)/NºAsuntos!G14),(NºAsuntos!C14+NºAsuntos!E14)/NºAsuntos!G14," - ")</f>
        <v>2.6016723679209428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v>
      </c>
      <c r="C16" s="498">
        <f>IF(ISNUMBER(NºAsuntos!I16/NºAsuntos!G16),NºAsuntos!I16/NºAsuntos!G16," - ")</f>
        <v>0.46128318584070799</v>
      </c>
      <c r="D16" s="499">
        <f>IF(ISNUMBER('Resol  Asuntos'!D16/NºAsuntos!G16),'Resol  Asuntos'!D16/NºAsuntos!G16," - ")</f>
        <v>0.13753687315634219</v>
      </c>
      <c r="E16" s="500">
        <f>IF(ISNUMBER((NºAsuntos!C16+NºAsuntos!E16)/NºAsuntos!G16),(NºAsuntos!C16+NºAsuntos!E16)/NºAsuntos!G16," - ")</f>
        <v>1.4513274336283186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1.1027667984189724</v>
      </c>
      <c r="C18" s="498">
        <f>IF(ISNUMBER(NºAsuntos!I18/NºAsuntos!G18),NºAsuntos!I18/NºAsuntos!G18," - ")</f>
        <v>0.14336917562724014</v>
      </c>
      <c r="D18" s="499">
        <f>IF(ISNUMBER('Resol  Asuntos'!D18/NºAsuntos!G18),'Resol  Asuntos'!D18/NºAsuntos!G18," - ")</f>
        <v>0.18279569892473119</v>
      </c>
      <c r="E18" s="500">
        <f>IF(ISNUMBER((NºAsuntos!C18+NºAsuntos!E18)/NºAsuntos!G18),(NºAsuntos!C18+NºAsuntos!E18)/NºAsuntos!G18," - ")</f>
        <v>1.1433691756272402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1.008768971332209</v>
      </c>
      <c r="C23" s="1156">
        <f>IF(ISNUMBER(NºAsuntos!I23/NºAsuntos!G23),NºAsuntos!I23/NºAsuntos!G23," - ")</f>
        <v>0.43162821798729523</v>
      </c>
      <c r="D23" s="1159">
        <f>IF(ISNUMBER('Resol  Asuntos'!D23/NºAsuntos!G23),'Resol  Asuntos'!D23/NºAsuntos!G23," - ")</f>
        <v>0.14175860916081578</v>
      </c>
      <c r="E23" s="1158">
        <f>IF(ISNUMBER((NºAsuntos!C23+NºAsuntos!E23)/NºAsuntos!G23),(NºAsuntos!C23+NºAsuntos!E23)/NºAsuntos!G23," - ")</f>
        <v>1.422601136743564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0.98372703412073492</v>
      </c>
      <c r="C31" s="1099">
        <f>IF(ISNUMBER(NºAsuntos!I31/NºAsuntos!G31),NºAsuntos!I31/NºAsuntos!G31," - ")</f>
        <v>0.97883315546069016</v>
      </c>
      <c r="D31" s="1100">
        <f>IF(ISNUMBER('Resol  Asuntos'!D31/NºAsuntos!G31),'Resol  Asuntos'!D31/NºAsuntos!G31," - ")</f>
        <v>0.18818925649235146</v>
      </c>
      <c r="E31" s="1101">
        <f>IF(ISNUMBER((NºAsuntos!C31+NºAsuntos!E31)/NºAsuntos!G31),(NºAsuntos!C31+NºAsuntos!E31)/NºAsuntos!G31," - ")</f>
        <v>1.9743863393810033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Wh1xVp4qJ1S7GfTUdMDgpn3nk1lErdyKEjBhyfJrTiB5Y1oDeWLrzpJwnLxsEpjmtliCIRcN3oOgwSQ0gX6g==" saltValue="uTNnPFCX9W6cB/ghc3OwY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BADAJOZ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2 al 2</v>
      </c>
      <c r="D5" s="1628" t="s">
        <v>487</v>
      </c>
      <c r="E5" s="1628" t="s">
        <v>410</v>
      </c>
      <c r="F5" s="1651" t="s">
        <v>523</v>
      </c>
      <c r="G5" s="1654" t="s">
        <v>173</v>
      </c>
      <c r="H5" s="1634" t="s">
        <v>217</v>
      </c>
      <c r="I5" s="1634" t="s">
        <v>221</v>
      </c>
      <c r="J5" s="1634" t="s">
        <v>222</v>
      </c>
      <c r="K5" s="1634" t="s">
        <v>524</v>
      </c>
      <c r="L5" s="1634" t="s">
        <v>780</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1112</v>
      </c>
      <c r="AX5" s="1628" t="s">
        <v>415</v>
      </c>
      <c r="AY5" s="1628" t="s">
        <v>1003</v>
      </c>
      <c r="AZ5" s="1628" t="s">
        <v>1004</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317</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566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554</v>
      </c>
      <c r="Y9" s="374">
        <f>SUM(W9:X9)</f>
        <v>554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7115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454</v>
      </c>
      <c r="AJ9" s="243" t="str">
        <f>IF(ISNUMBER(Datos!BW9),Datos!BW9," - ")</f>
        <v xml:space="preserve"> - </v>
      </c>
      <c r="AK9" s="242" t="str">
        <f>IF(ISNUMBER(Datos!BX9),Datos!BX9," - ")</f>
        <v xml:space="preserve"> - </v>
      </c>
      <c r="AL9" s="266">
        <f>IF(ISNUMBER(NºAsuntos!G9/NºAsuntos!E9),NºAsuntos!G9/NºAsuntos!E9," - ")</f>
        <v>0.95081266039349877</v>
      </c>
      <c r="AM9" s="284">
        <f>IF(ISNUMBER(((NºAsuntos!I9/NºAsuntos!G9)*11)/factor_trimestre),((NºAsuntos!I9/NºAsuntos!G9)*11)/factor_trimestre," - ")</f>
        <v>4.8515519568151149</v>
      </c>
      <c r="AN9" s="267">
        <f>IF(ISNUMBER('Resol  Asuntos'!D9/NºAsuntos!G9),'Resol  Asuntos'!D9/NºAsuntos!G9," - ")</f>
        <v>0.20422852001799371</v>
      </c>
      <c r="AO9" s="268">
        <f>IF(ISNUMBER((NºAsuntos!C9+NºAsuntos!E9)/NºAsuntos!G9),(NºAsuntos!C9+NºAsuntos!E9)/NºAsuntos!G9," - ")</f>
        <v>2.6180836707152495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1</v>
      </c>
      <c r="F10" s="239">
        <f>IF(ISNUMBER(Datos!L10+Datos!K10-Datos!J10-K10),Datos!L10+Datos!K10-Datos!J10-K10," - ")</f>
        <v>50</v>
      </c>
      <c r="G10" s="373">
        <f>IF(ISNUMBER(Datos!I10),Datos!I10," - ")</f>
        <v>50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37</v>
      </c>
      <c r="X10" s="240">
        <f>IF(ISNUMBER(Datos!Q10),Datos!Q10," - ")</f>
        <v>12</v>
      </c>
      <c r="Y10" s="374">
        <f t="shared" ref="Y10:Y13" si="0">SUM(W10:X10)</f>
        <v>49</v>
      </c>
      <c r="Z10" s="375" t="str">
        <f>IF(ISNUMBER(Datos!CC10),Datos!CC10," - ")</f>
        <v xml:space="preserve"> - </v>
      </c>
      <c r="AA10" s="372">
        <f>IF(ISNUMBER(Datos!L10),Datos!L10,"-")</f>
        <v>55</v>
      </c>
      <c r="AB10" s="374">
        <f>IF(ISNUMBER(Datos!R10),Datos!R10," - ")</f>
        <v>66</v>
      </c>
      <c r="AC10" s="374">
        <f t="shared" ref="AC10:AC13" si="1">IF(ISNUMBER(AA10+AB10),AA10+AB10," - ")</f>
        <v>121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0.88095238095238093</v>
      </c>
      <c r="AM10" s="284">
        <f>IF(ISNUMBER(((NºAsuntos!I10/NºAsuntos!G10)*11)/factor_trimestre),((NºAsuntos!I10/NºAsuntos!G10)*11)/factor_trimestre," - ")</f>
        <v>4.4594594594594597</v>
      </c>
      <c r="AN10" s="267">
        <f>IF(ISNUMBER('Resol  Asuntos'!D10/NºAsuntos!G10),'Resol  Asuntos'!D10/NºAsuntos!G10," - ")</f>
        <v>0.43243243243243246</v>
      </c>
      <c r="AO10" s="268">
        <f>IF(ISNUMBER((NºAsuntos!C10+NºAsuntos!E10)/NºAsuntos!G10),(NºAsuntos!C10+NºAsuntos!E10)/NºAsuntos!G10," - ")</f>
        <v>2.4864864864864864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100</v>
      </c>
      <c r="Y11" s="374">
        <f t="shared" si="0"/>
        <v>100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373</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164</v>
      </c>
      <c r="AJ11" s="245" t="str">
        <f>IF(ISNUMBER(Datos!BW11),Datos!BW11," - ")</f>
        <v xml:space="preserve"> - </v>
      </c>
      <c r="AK11" s="246" t="str">
        <f>IF(ISNUMBER(Datos!BX11),Datos!BX11," - ")</f>
        <v xml:space="preserve"> - </v>
      </c>
      <c r="AL11" s="266">
        <f>IF(ISNUMBER(NºAsuntos!G11/NºAsuntos!E11),NºAsuntos!G11/NºAsuntos!E11," - ")</f>
        <v>0.99457994579945797</v>
      </c>
      <c r="AM11" s="284">
        <f>IF(ISNUMBER(((NºAsuntos!I11/NºAsuntos!G11)*11)/factor_trimestre),((NºAsuntos!I11/NºAsuntos!G11)*11)/factor_trimestre," - ")</f>
        <v>4.5367847411444151</v>
      </c>
      <c r="AN11" s="267">
        <f>IF(ISNUMBER('Resol  Asuntos'!D11/NºAsuntos!G11),'Resol  Asuntos'!D11/NºAsuntos!G11," - ")</f>
        <v>0.44686648501362397</v>
      </c>
      <c r="AO11" s="268">
        <f>IF(ISNUMBER((NºAsuntos!C11+NºAsuntos!E11)/NºAsuntos!G11),(NºAsuntos!C11+NºAsuntos!E11)/NºAsuntos!G11," - ")</f>
        <v>2.5122615803814714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v>
      </c>
      <c r="Y12" s="374">
        <f t="shared" si="0"/>
        <v>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4</v>
      </c>
      <c r="AM12" s="284">
        <f>IF(ISNUMBER(((NºAsuntos!I12/NºAsuntos!G12)*11)/factor_trimestre),((NºAsuntos!I12/NºAsuntos!G12)*11)/factor_trimestre," - ")</f>
        <v>5.25</v>
      </c>
      <c r="AN12" s="267">
        <f>IF(ISNUMBER('Resol  Asuntos'!D12/NºAsuntos!G12),'Resol  Asuntos'!D12/NºAsuntos!G12," - ")</f>
        <v>0</v>
      </c>
      <c r="AO12" s="268">
        <f>IF(ISNUMBER((NºAsuntos!C12+NºAsuntos!E12)/NºAsuntos!G12),(NºAsuntos!C12+NºAsuntos!E12)/NºAsuntos!G12," - ")</f>
        <v>2.75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50</v>
      </c>
      <c r="G14" s="1163">
        <f t="shared" si="5"/>
        <v>50</v>
      </c>
      <c r="H14" s="1162">
        <f t="shared" si="5"/>
        <v>0</v>
      </c>
      <c r="I14" s="1164">
        <f t="shared" si="5"/>
        <v>0</v>
      </c>
      <c r="J14" s="1164">
        <f t="shared" si="5"/>
        <v>0</v>
      </c>
      <c r="K14" s="1164">
        <f t="shared" si="5"/>
        <v>0</v>
      </c>
      <c r="L14" s="1164">
        <f t="shared" si="5"/>
        <v>631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37</v>
      </c>
      <c r="X14" s="1164">
        <f t="shared" si="6"/>
        <v>675</v>
      </c>
      <c r="Y14" s="1165">
        <f t="shared" si="6"/>
        <v>712</v>
      </c>
      <c r="Z14" s="1165">
        <f t="shared" si="6"/>
        <v>0</v>
      </c>
      <c r="AA14" s="1165">
        <f t="shared" si="6"/>
        <v>55</v>
      </c>
      <c r="AB14" s="1165">
        <f t="shared" si="6"/>
        <v>7647</v>
      </c>
      <c r="AC14" s="1165">
        <f t="shared" si="6"/>
        <v>121</v>
      </c>
      <c r="AD14" s="1165">
        <f t="shared" si="6"/>
        <v>0</v>
      </c>
      <c r="AE14" s="1169">
        <f t="shared" si="6"/>
        <v>0</v>
      </c>
      <c r="AF14" s="1162">
        <f t="shared" si="6"/>
        <v>0</v>
      </c>
      <c r="AG14" s="1170">
        <f t="shared" si="6"/>
        <v>0</v>
      </c>
      <c r="AH14" s="1167">
        <f t="shared" si="6"/>
        <v>0</v>
      </c>
      <c r="AI14" s="1162">
        <f t="shared" si="6"/>
        <v>634</v>
      </c>
      <c r="AJ14" s="1164">
        <f t="shared" si="6"/>
        <v>0</v>
      </c>
      <c r="AK14" s="1167">
        <f>SUBTOTAL(9,AK9:AK13)</f>
        <v>0</v>
      </c>
      <c r="AL14" s="1171">
        <f>IF(ISNUMBER(NºAsuntos!G14/NºAsuntos!E14),NºAsuntos!G14/NºAsuntos!E14," - ")</f>
        <v>0.95672727272727276</v>
      </c>
      <c r="AM14" s="1171">
        <f>IF(ISNUMBER(((NºAsuntos!I14/NºAsuntos!G14)*11)/factor_trimestre),((NºAsuntos!I14/NºAsuntos!G14)*11)/factor_trimestre," - ")</f>
        <v>4.8027366020524509</v>
      </c>
      <c r="AN14" s="1172">
        <f>IF(ISNUMBER('Resol  Asuntos'!D14/NºAsuntos!G14),'Resol  Asuntos'!D14/NºAsuntos!G14," - ")</f>
        <v>0.24097301406309388</v>
      </c>
      <c r="AO14" s="1173">
        <f>IF(ISNUMBER((NºAsuntos!C14+NºAsuntos!E14)/NºAsuntos!G14),(NºAsuntos!C14+NºAsuntos!E14)/NºAsuntos!G14," - ")</f>
        <v>2.6016723679209428</v>
      </c>
      <c r="AP14" s="1174" t="str">
        <f t="shared" si="2"/>
        <v xml:space="preserve"> - </v>
      </c>
      <c r="AQ14" s="1174">
        <f>IF(ISNUMBER((H14-W14+K14)/(F14)),(H14-W14+K14)/(F14)," - ")</f>
        <v>-0.74</v>
      </c>
      <c r="AR14" s="1175">
        <f>IF(ISNUMBER((Datos!P14-Datos!Q14)/(Datos!R14-Datos!P14+Datos!Q14)),(Datos!P14-Datos!Q14)/(Datos!R14-Datos!P14+Datos!Q14)," - ")</f>
        <v>-5.7209725653361073E-3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507</v>
      </c>
      <c r="C16" s="173" t="str">
        <f>Datos!A16</f>
        <v xml:space="preserve">Jdos. Instrucción                               </v>
      </c>
      <c r="D16" s="173"/>
      <c r="E16" s="1402">
        <f>IF(ISNUMBER(Datos!AQ16),Datos!AQ16," - ")</f>
        <v>4</v>
      </c>
      <c r="F16" s="239">
        <f>IF(ISNUMBER(AA16+W16-Datos!J16-K16),AA16+W16-Datos!J16-K16," - ")</f>
        <v>1251</v>
      </c>
      <c r="G16" s="373">
        <f>IF(ISNUMBER(IF(D_I="SI",Datos!I16,Datos!I16+Datos!AC16)),IF(D_I="SI",Datos!I16,Datos!I16+Datos!AC16)," - ")</f>
        <v>1224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180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2712</v>
      </c>
      <c r="X16" s="240">
        <f>IF(ISNUMBER(Datos!Q16),Datos!Q16," - ")</f>
        <v>207</v>
      </c>
      <c r="Y16" s="374">
        <f>SUM(W16)</f>
        <v>2712</v>
      </c>
      <c r="Z16" s="375" t="str">
        <f>IF(ISNUMBER(Datos!CC16),Datos!CC16," - ")</f>
        <v xml:space="preserve"> - </v>
      </c>
      <c r="AA16" s="372">
        <f>IF(ISNUMBER(IF(D_I="SI",Datos!L16,Datos!L16+Datos!AF16)),IF(D_I="SI",Datos!L16,Datos!L16+Datos!AF16)," - ")</f>
        <v>1251</v>
      </c>
      <c r="AB16" s="374">
        <f>IF(ISNUMBER(Datos!R16),Datos!R16," - ")</f>
        <v>208</v>
      </c>
      <c r="AC16" s="374">
        <f t="shared" ref="AC16:AC22" si="8">IF(ISNUMBER(AA16+AB16),AA16+AB16," - ")</f>
        <v>1459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373</v>
      </c>
      <c r="AJ16" s="245" t="str">
        <f>IF(ISNUMBER(Datos!BW16),Datos!BW16," - ")</f>
        <v xml:space="preserve"> - </v>
      </c>
      <c r="AK16" s="246" t="str">
        <f>IF(ISNUMBER(Datos!BX16),Datos!BX16," - ")</f>
        <v xml:space="preserve"> - </v>
      </c>
      <c r="AL16" s="266">
        <f>IF(ISNUMBER(NºAsuntos!G16/NºAsuntos!E16),NºAsuntos!G16/NºAsuntos!E16," - ")</f>
        <v>1</v>
      </c>
      <c r="AM16" s="284">
        <f>IF(ISNUMBER(((NºAsuntos!I16/NºAsuntos!G16)*11)/factor_trimestre),((NºAsuntos!I16/NºAsuntos!G16)*11)/factor_trimestre," - ")</f>
        <v>1.3838495575221239</v>
      </c>
      <c r="AN16" s="267">
        <f>IF(ISNUMBER('Resol  Asuntos'!D16/NºAsuntos!G16),'Resol  Asuntos'!D16/NºAsuntos!G16," - ")</f>
        <v>0.13753687315634219</v>
      </c>
      <c r="AO16" s="268">
        <f>IF(ISNUMBER((NºAsuntos!C16+NºAsuntos!E16)/NºAsuntos!G16),(NºAsuntos!C16+NºAsuntos!E16)/NºAsuntos!G16," - ")</f>
        <v>1.4513274336283186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66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279</v>
      </c>
      <c r="X18" s="240">
        <f>IF(ISNUMBER(Datos!Q18),Datos!Q18," - ")</f>
        <v>8</v>
      </c>
      <c r="Y18" s="374">
        <f t="shared" si="9"/>
        <v>287</v>
      </c>
      <c r="Z18" s="375" t="str">
        <f>IF(ISNUMBER(Datos!CC18),Datos!CC18," - ")</f>
        <v xml:space="preserve"> - </v>
      </c>
      <c r="AA18" s="372">
        <f>IF(ISNUMBER(Datos!L18),Datos!L18,"-")</f>
        <v>40</v>
      </c>
      <c r="AB18" s="374">
        <f>IF(ISNUMBER(Datos!R18),Datos!R18," - ")</f>
        <v>17</v>
      </c>
      <c r="AC18" s="374">
        <f t="shared" si="8"/>
        <v>57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51</v>
      </c>
      <c r="AJ18" s="245" t="str">
        <f>IF(ISNUMBER(Datos!BW18),Datos!BW18," - ")</f>
        <v xml:space="preserve"> - </v>
      </c>
      <c r="AK18" s="246" t="str">
        <f>IF(ISNUMBER(Datos!BX18),Datos!BX18," - ")</f>
        <v xml:space="preserve"> - </v>
      </c>
      <c r="AL18" s="266">
        <f>IF(ISNUMBER(NºAsuntos!G18/NºAsuntos!E18),NºAsuntos!G18/NºAsuntos!E18," - ")</f>
        <v>1.1027667984189724</v>
      </c>
      <c r="AM18" s="284">
        <f>IF(ISNUMBER(((NºAsuntos!I18/NºAsuntos!G18)*11)/factor_trimestre),((NºAsuntos!I18/NºAsuntos!G18)*11)/factor_trimestre," - ")</f>
        <v>0.43010752688172044</v>
      </c>
      <c r="AN18" s="267">
        <f>IF(ISNUMBER('Resol  Asuntos'!D18/NºAsuntos!G18),'Resol  Asuntos'!D18/NºAsuntos!G18," - ")</f>
        <v>0.18279569892473119</v>
      </c>
      <c r="AO18" s="268">
        <f>IF(ISNUMBER((NºAsuntos!C18+NºAsuntos!E18)/NºAsuntos!G18),(NºAsuntos!C18+NºAsuntos!E18)/NºAsuntos!G18," - ")</f>
        <v>1.1433691756272402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1251</v>
      </c>
      <c r="G23" s="1163">
        <f>SUBTOTAL(9,G16:G22)</f>
        <v>1290</v>
      </c>
      <c r="H23" s="1162">
        <f t="shared" ref="H23:O23" si="13">SUBTOTAL(9,H15:H22)</f>
        <v>0</v>
      </c>
      <c r="I23" s="1164">
        <f t="shared" si="13"/>
        <v>0</v>
      </c>
      <c r="J23" s="1164">
        <f t="shared" si="13"/>
        <v>0</v>
      </c>
      <c r="K23" s="1164">
        <f t="shared" si="13"/>
        <v>0</v>
      </c>
      <c r="L23" s="1164">
        <f t="shared" si="13"/>
        <v>185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2991</v>
      </c>
      <c r="X23" s="1164">
        <f t="shared" si="14"/>
        <v>215</v>
      </c>
      <c r="Y23" s="1165">
        <f t="shared" si="14"/>
        <v>2999</v>
      </c>
      <c r="Z23" s="1165">
        <f t="shared" si="14"/>
        <v>0</v>
      </c>
      <c r="AA23" s="1165">
        <f t="shared" si="14"/>
        <v>1291</v>
      </c>
      <c r="AB23" s="1165">
        <f t="shared" si="14"/>
        <v>225</v>
      </c>
      <c r="AC23" s="1165">
        <f t="shared" si="14"/>
        <v>1516</v>
      </c>
      <c r="AD23" s="1165">
        <f t="shared" si="14"/>
        <v>0</v>
      </c>
      <c r="AE23" s="1169">
        <f t="shared" si="14"/>
        <v>0</v>
      </c>
      <c r="AF23" s="1162">
        <f t="shared" si="14"/>
        <v>0</v>
      </c>
      <c r="AG23" s="1170">
        <f t="shared" si="14"/>
        <v>0</v>
      </c>
      <c r="AH23" s="1167">
        <f t="shared" si="14"/>
        <v>0</v>
      </c>
      <c r="AI23" s="1162">
        <f t="shared" si="14"/>
        <v>424</v>
      </c>
      <c r="AJ23" s="1164">
        <f t="shared" si="14"/>
        <v>0</v>
      </c>
      <c r="AK23" s="1167">
        <f t="shared" si="14"/>
        <v>0</v>
      </c>
      <c r="AL23" s="1171">
        <f>IF(ISNUMBER(NºAsuntos!G23/NºAsuntos!E23),NºAsuntos!G23/NºAsuntos!E23," - ")</f>
        <v>1.008768971332209</v>
      </c>
      <c r="AM23" s="1171">
        <f>IF(ISNUMBER(((NºAsuntos!I23/NºAsuntos!G23)*11)/factor_trimestre),((NºAsuntos!I23/NºAsuntos!G23)*11)/factor_trimestre," - ")</f>
        <v>1.2948846539618857</v>
      </c>
      <c r="AN23" s="1172">
        <f>IF(ISNUMBER('Resol  Asuntos'!D23/NºAsuntos!G23),'Resol  Asuntos'!D23/NºAsuntos!G23," - ")</f>
        <v>0.14175860916081578</v>
      </c>
      <c r="AO23" s="1173">
        <f>IF(ISNUMBER((NºAsuntos!C23+NºAsuntos!E23)/NºAsuntos!G23),(NºAsuntos!C23+NºAsuntos!E23)/NºAsuntos!G23," - ")</f>
        <v>1.422601136743564</v>
      </c>
      <c r="AP23" s="1174" t="str">
        <f t="shared" si="2"/>
        <v xml:space="preserve"> - </v>
      </c>
      <c r="AQ23" s="1174">
        <f>IF(ISNUMBER((H23-W23+K23)/(F23)),(H23-W23+K23)/(F23)," - ")</f>
        <v>-2.3908872901678655</v>
      </c>
      <c r="AR23" s="1175">
        <f>IF(ISNUMBER((Datos!P23-Datos!Q23)/(Datos!R23-Datos!P23+Datos!Q23)),(Datos!P23-Datos!Q23)/(Datos!R23-Datos!P23+Datos!Q23)," - ")</f>
        <v>-0.11764705882352941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13</v>
      </c>
      <c r="F31" s="1117">
        <f t="shared" si="20"/>
        <v>1301</v>
      </c>
      <c r="G31" s="1118">
        <f t="shared" si="20"/>
        <v>1340</v>
      </c>
      <c r="H31" s="1117">
        <f t="shared" si="20"/>
        <v>0</v>
      </c>
      <c r="I31" s="1119">
        <f t="shared" si="20"/>
        <v>0</v>
      </c>
      <c r="J31" s="1119">
        <f t="shared" si="20"/>
        <v>0</v>
      </c>
      <c r="K31" s="1180">
        <f t="shared" si="20"/>
        <v>0</v>
      </c>
      <c r="L31" s="1119">
        <f t="shared" si="20"/>
        <v>816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3028</v>
      </c>
      <c r="X31" s="1118">
        <f t="shared" si="21"/>
        <v>890</v>
      </c>
      <c r="Y31" s="1125">
        <f t="shared" si="21"/>
        <v>3711</v>
      </c>
      <c r="Z31" s="1125">
        <f t="shared" si="21"/>
        <v>0</v>
      </c>
      <c r="AA31" s="1125">
        <f t="shared" si="21"/>
        <v>1346</v>
      </c>
      <c r="AB31" s="1125">
        <f t="shared" si="21"/>
        <v>7872</v>
      </c>
      <c r="AC31" s="1125">
        <f t="shared" si="21"/>
        <v>1637</v>
      </c>
      <c r="AD31" s="1125">
        <f t="shared" si="21"/>
        <v>0</v>
      </c>
      <c r="AE31" s="1127">
        <f t="shared" si="21"/>
        <v>0</v>
      </c>
      <c r="AF31" s="1128">
        <f t="shared" si="21"/>
        <v>0</v>
      </c>
      <c r="AG31" s="1129">
        <f t="shared" si="21"/>
        <v>0</v>
      </c>
      <c r="AH31" s="1127">
        <f t="shared" si="21"/>
        <v>0</v>
      </c>
      <c r="AI31" s="1117">
        <f t="shared" si="21"/>
        <v>1058</v>
      </c>
      <c r="AJ31" s="1117">
        <f t="shared" si="21"/>
        <v>0</v>
      </c>
      <c r="AK31" s="1127">
        <f t="shared" si="21"/>
        <v>0</v>
      </c>
      <c r="AL31" s="1183">
        <f>IF(ISNUMBER(NºAsuntos!G31/NºAsuntos!E31),NºAsuntos!G31/NºAsuntos!E31," - ")</f>
        <v>0.98372703412073492</v>
      </c>
      <c r="AM31" s="1184">
        <f>IF(ISNUMBER(((NºAsuntos!I31/NºAsuntos!G31)*11)/factor_trimestre),((NºAsuntos!I31/NºAsuntos!G31)*11)/factor_trimestre," - ")</f>
        <v>2.9364994663820707</v>
      </c>
      <c r="AN31" s="1184">
        <f>IF(ISNUMBER('Resol  Asuntos'!D31/NºAsuntos!G31),'Resol  Asuntos'!D31/NºAsuntos!G31," - ")</f>
        <v>0.18818925649235146</v>
      </c>
      <c r="AO31" s="1185">
        <f>IF(ISNUMBER((NºAsuntos!C31+NºAsuntos!E31)/NºAsuntos!G31),(NºAsuntos!C31+NºAsuntos!E31)/NºAsuntos!G31," - ")</f>
        <v>1.9743863393810033</v>
      </c>
      <c r="AP31" s="1186" t="str">
        <f t="shared" si="2"/>
        <v xml:space="preserve"> - </v>
      </c>
      <c r="AQ31" s="1187">
        <f>IF(OR(ISNUMBER(FIND("01",Criterios!A8,1)),ISNUMBER(FIND("02",Criterios!A8,1)),ISNUMBER(FIND("03",Criterios!A8,1)),ISNUMBER(FIND("04",Criterios!A8,1))),(I31-W31+K31)/(F31-K31),(H31-W31+K31)/(F31-K31))</f>
        <v>-2.3274404304381244</v>
      </c>
      <c r="AR31" s="1188">
        <f>IF(ISNUMBER((Datos!P31-Datos!Q31)/(Datos!R31-Datos!P31+Datos!Q31)),(Datos!P31-Datos!Q31)/(Datos!R31-Datos!P31+Datos!Q31)," - ")</f>
        <v>-9.31286181726655E-3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382.85714285714283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2.4542599318054101</v>
      </c>
      <c r="F33" s="276">
        <f>IF(ISNUMBER(STDEV(F8:F30)),STDEV(F8:F30),"-")</f>
        <v>633.49843462053377</v>
      </c>
      <c r="G33" s="277">
        <f>IF(ISNUMBER(STDEV(G8:G30)),STDEV(G8:G30),"-")</f>
        <v>597.99315173654747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1362.7361481680193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237.81047542575206</v>
      </c>
      <c r="AJ33" s="276">
        <f t="shared" si="25"/>
        <v>0</v>
      </c>
      <c r="AK33" s="278">
        <f t="shared" si="25"/>
        <v>0</v>
      </c>
      <c r="AL33" s="273">
        <f t="shared" si="25"/>
        <v>1.067827373017743</v>
      </c>
      <c r="AM33" s="274">
        <f t="shared" si="25"/>
        <v>1.9720909577857604</v>
      </c>
      <c r="AN33" s="274">
        <f t="shared" si="25"/>
        <v>0.15113957619764556</v>
      </c>
      <c r="AO33" s="275">
        <f t="shared" si="25"/>
        <v>0.66034512955988067</v>
      </c>
      <c r="AP33" s="317" t="str">
        <f t="shared" si="25"/>
        <v>-</v>
      </c>
      <c r="AQ33" s="318">
        <f t="shared" si="25"/>
        <v>1.1673535978523815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3ftH4BgwIO3zhiPwhOKJD8zKUnCVD8ktB8ZwaRc41EAGVEyQ3RTP1wFSQhkirv8Sb1qRELTiZbSEMIlKktf5QA==" saltValue="qsC8CvcDskP9u6MqArUn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BADAJOZ</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-0.13358778625954199</v>
      </c>
      <c r="I9" s="395">
        <f>IF(ISNUMBER((Tasas!C9-Datos!BE9)/Datos!BE9),(Tasas!C9-Datos!BE9)/Datos!BE9," - ")</f>
        <v>0.19358139881332578</v>
      </c>
      <c r="J9" s="394">
        <f>IF(ISNUMBER((Tasas!D9-Datos!BF9)/Datos!BF9),(Tasas!D9-Datos!BF9)/Datos!BF9," - ")</f>
        <v>-0.48903745757950229</v>
      </c>
      <c r="K9" s="396">
        <f>IF(ISNUMBER((Tasas!E9-Datos!BG9)/Datos!BG9),(Tasas!E9-Datos!BG9)/Datos!BG9," - ")</f>
        <v>8.2544649027739628E-2</v>
      </c>
      <c r="M9" t="e">
        <f>IF(Monitorios="SI",Datos!CE9,0)</f>
        <v>#REF!</v>
      </c>
      <c r="N9" t="e">
        <f>IF(Monitorios="SI",Datos!CF9,0)</f>
        <v>#REF!</v>
      </c>
      <c r="O9" t="e">
        <f>IF(Monitorios="SI",Datos!CG9,0)</f>
        <v>#REF!</v>
      </c>
      <c r="P9" t="e">
        <f>IF(Monitorios="SI",Datos!CH9,0)</f>
        <v>#REF!</v>
      </c>
      <c r="Q9">
        <f>IF(J_V="SI",0,Datos!AG9)</f>
        <v>163</v>
      </c>
      <c r="R9">
        <f>IF(J_V="SI",0,Datos!AH9)</f>
        <v>169</v>
      </c>
      <c r="S9">
        <f>IF(J_V="SI",0,Datos!AI9)</f>
        <v>192</v>
      </c>
      <c r="T9">
        <f>IF(J_V="SI",0,Datos!AJ9)</f>
        <v>140</v>
      </c>
    </row>
    <row r="10" spans="2:20" ht="14.25">
      <c r="B10" s="300" t="s">
        <v>317</v>
      </c>
      <c r="C10" s="7" t="str">
        <f>Datos!A10</f>
        <v>Jdos. Violencia contra la mujer</v>
      </c>
      <c r="D10" s="397">
        <f>IF(ISNUMBER((Datos!I10-Datos!S10)/Datos!S10),(Datos!I10-Datos!S10)/Datos!S10," - ")</f>
        <v>0.19047619047619047</v>
      </c>
      <c r="E10" s="393">
        <f>IF(ISNUMBER((Datos!J10-Datos!T10)/Datos!T10),(Datos!J10-Datos!T10)/Datos!T10," - ")</f>
        <v>7.6923076923076927E-2</v>
      </c>
      <c r="F10" s="393">
        <f>IF(ISNUMBER((Datos!K10-Datos!U10)/Datos!U10),(Datos!K10-Datos!U10)/Datos!U10," - ")</f>
        <v>0.15625</v>
      </c>
      <c r="G10" s="394">
        <f>IF(ISNUMBER((Datos!L10-Datos!V10)/Datos!V10),(Datos!L10-Datos!V10)/Datos!V10," - ")</f>
        <v>0.12244897959183673</v>
      </c>
      <c r="H10" s="244">
        <f>IF(ISNUMBER((Datos!M10-Datos!W10)/Datos!W10),(Datos!M10-Datos!W10)/Datos!W10," - ")</f>
        <v>0.33333333333333331</v>
      </c>
      <c r="I10" s="395">
        <f>IF(ISNUMBER((Tasas!C10-Datos!BE10)/Datos!BE10),(Tasas!C10-Datos!BE10)/Datos!BE10," - ")</f>
        <v>-2.9233314947600716E-2</v>
      </c>
      <c r="J10" s="394">
        <f>IF(ISNUMBER((Tasas!D10-Datos!BF10)/Datos!BF10),(Tasas!D10-Datos!BF10)/Datos!BF10," - ")</f>
        <v>0.15315315315315323</v>
      </c>
      <c r="K10" s="396">
        <f>IF(ISNUMBER((Tasas!E10-Datos!BG10)/Datos!BG10),(Tasas!E10-Datos!BG10)/Datos!BG10," - ")</f>
        <v>-1.7684351017684383E-2</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-6.0606060606060606E-3</v>
      </c>
      <c r="I11" s="395">
        <f>IF(ISNUMBER((Tasas!C11-Datos!BE11)/Datos!BE11),(Tasas!C11-Datos!BE11)/Datos!BE11," - ")</f>
        <v>-0.12509905458490303</v>
      </c>
      <c r="J11" s="394">
        <f>IF(ISNUMBER((Tasas!D11-Datos!BF11)/Datos!BF11),(Tasas!D11-Datos!BF11)/Datos!BF11," - ")</f>
        <v>0.31932009861165184</v>
      </c>
      <c r="K11" s="396">
        <f>IF(ISNUMBER((Tasas!E11-Datos!BG11)/Datos!BG11),(Tasas!E11-Datos!BG11)/Datos!BG11," - ")</f>
        <v>-8.1060660863414596E-2</v>
      </c>
      <c r="M11" t="e">
        <f>IF(Monitorios="SI",Datos!CE11,0)</f>
        <v>#REF!</v>
      </c>
      <c r="N11" t="e">
        <f>IF(Monitorios="SI",Datos!CF11,0)</f>
        <v>#REF!</v>
      </c>
      <c r="O11" t="e">
        <f>IF(Monitorios="SI",Datos!CG11,0)</f>
        <v>#REF!</v>
      </c>
      <c r="P11" t="e">
        <f>IF(Monitorios="SI",Datos!CH11,0)</f>
        <v>#REF!</v>
      </c>
      <c r="Q11">
        <f>IF(J_V="SI",0,Datos!AG11)</f>
        <v>31</v>
      </c>
      <c r="R11">
        <f>IF(J_V="SI",0,Datos!AH11)</f>
        <v>27</v>
      </c>
      <c r="S11">
        <f>IF(J_V="SI",0,Datos!AI11)</f>
        <v>38</v>
      </c>
      <c r="T11">
        <f>IF(J_V="SI",0,Datos!AJ11)</f>
        <v>20</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f>IF(ISNUMBER((Tasas!C12-Datos!BE12)/Datos!BE12),(Tasas!C12-Datos!BE12)/Datos!BE12," - ")</f>
        <v>-0.65</v>
      </c>
      <c r="J12" s="394" t="str">
        <f>IF(ISNUMBER((Tasas!D12-Datos!BF12)/Datos!BF12),(Tasas!D12-Datos!BF12)/Datos!BF12," - ")</f>
        <v xml:space="preserve"> - </v>
      </c>
      <c r="K12" s="396">
        <f>IF(ISNUMBER((Tasas!E12-Datos!BG12)/Datos!BG12),(Tasas!E12-Datos!BG12)/Datos!BG12," - ")</f>
        <v>-0.54166666666666663</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-9.5577746077032816E-2</v>
      </c>
      <c r="I14" s="402">
        <f>IF(ISNUMBER((Tasas!C14-Datos!BE14)/Datos!BE14),(Tasas!C14-Datos!BE14)/Datos!BE14," - ")</f>
        <v>0.13828401645441596</v>
      </c>
      <c r="J14" s="400">
        <f>IF(ISNUMBER((Tasas!D14-Datos!BF14)/Datos!BF14),(Tasas!D14-Datos!BF14)/Datos!BF14," - ")</f>
        <v>-0.38451985663580335</v>
      </c>
      <c r="K14" s="403">
        <f>IF(ISNUMBER((Tasas!E14-Datos!BG14)/Datos!BG14),(Tasas!E14-Datos!BG14)/Datos!BG14," - ")</f>
        <v>5.6699701164176872E-2</v>
      </c>
      <c r="M14" t="e">
        <f>IF(Monitorios="SI",Datos!CE14,0)</f>
        <v>#REF!</v>
      </c>
      <c r="N14" t="e">
        <f>IF(Monitorios="SI",Datos!CF14,0)</f>
        <v>#REF!</v>
      </c>
      <c r="O14" t="e">
        <f>IF(Monitorios="SI",Datos!CG14,0)</f>
        <v>#REF!</v>
      </c>
      <c r="P14" t="e">
        <f>IF(Monitorios="SI",Datos!CH14,0)</f>
        <v>#REF!</v>
      </c>
      <c r="Q14">
        <f>IF(J_V="SI",0,Datos!AG14)</f>
        <v>194</v>
      </c>
      <c r="R14">
        <f>IF(J_V="SI",0,Datos!AH14)</f>
        <v>196</v>
      </c>
      <c r="S14">
        <f>IF(J_V="SI",0,Datos!AI14)</f>
        <v>230</v>
      </c>
      <c r="T14">
        <f>IF(J_V="SI",0,Datos!AJ14)</f>
        <v>160</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-0.17129316181448884</v>
      </c>
      <c r="E16" s="393">
        <f>IF(ISNUMBER(
   IF(D_I="SI",(Datos!J16-Datos!T16)/Datos!T16,(Datos!J16+Datos!AD16-(Datos!T16+Datos!AL16))/(Datos!T16+Datos!AL16))
     ),IF(D_I="SI",(Datos!J16-Datos!T16)/Datos!T16,(Datos!J16+Datos!AD16-(Datos!T16+Datos!AL16))/(Datos!T16+Datos!AL16))," - ")</f>
        <v>3.3142857142857141E-2</v>
      </c>
      <c r="F16" s="393">
        <f>IF(ISNUMBER(
   IF(D_I="SI",(Datos!K16-Datos!U16)/Datos!U16,(Datos!K16+Datos!AE16-(Datos!U16+Datos!AM16))/(Datos!U16+Datos!AM16))
     ),IF(D_I="SI",(Datos!K16-Datos!U16)/Datos!U16,(Datos!K16+Datos!AE16-(Datos!U16+Datos!AM16))/(Datos!U16+Datos!AM16))," - ")</f>
        <v>-4.4397463002114168E-2</v>
      </c>
      <c r="G16" s="394">
        <f>IF(ISNUMBER(
   IF(D_I="SI",(Datos!L16-Datos!V16)/Datos!V16,(Datos!L16+Datos!AF16-(Datos!V16+Datos!AN16))/(Datos!V16+Datos!AN16))
     ),IF(D_I="SI",(Datos!L16-Datos!V16)/Datos!V16,(Datos!L16+Datos!AF16-(Datos!V16+Datos!AN16))/(Datos!V16+Datos!AN16))," - ")</f>
        <v>-3.5466461063993829E-2</v>
      </c>
      <c r="H16" s="244">
        <f>IF(ISNUMBER((Datos!M16-Datos!W16)/Datos!W16),(Datos!M16-Datos!W16)/Datos!W16," - ")</f>
        <v>-9.9033816425120769E-2</v>
      </c>
      <c r="I16" s="395">
        <f>IF(ISNUMBER((Tasas!C16-Datos!BE16)/Datos!BE16),(Tasas!C16-Datos!BE16)/Datos!BE16," - ")</f>
        <v>9.3459378688737736E-3</v>
      </c>
      <c r="J16" s="394">
        <f>IF(ISNUMBER((Tasas!D16-Datos!BF16)/Datos!BF16),(Tasas!D16-Datos!BF16)/Datos!BF16," - ")</f>
        <v>-5.7174768073190385E-2</v>
      </c>
      <c r="K16" s="396">
        <f>IF(ISNUMBER((Tasas!E16-Datos!BG16)/Datos!BG16),(Tasas!E16-Datos!BG16)/Datos!BG16," - ")</f>
        <v>4.1119591996996588E-3</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0.11453744493392071</v>
      </c>
      <c r="F18" s="393">
        <f>IF(ISNUMBER(
   IF(D_I="SI",(Datos!K18-Datos!U18)/Datos!U18,(Datos!K18+Datos!AE18-(Datos!U18+Datos!AM18))/(Datos!U18+Datos!AM18))
     ),IF(D_I="SI",(Datos!K18-Datos!U18)/Datos!U18,(Datos!K18+Datos!AE18-(Datos!U18+Datos!AM18))/(Datos!U18+Datos!AM18))," - ")</f>
        <v>0.23451327433628319</v>
      </c>
      <c r="G18" s="394">
        <f>IF(ISNUMBER(
   IF(D_I="SI",(Datos!L18-Datos!V18)/Datos!V18,(Datos!L18+Datos!AF18-(Datos!V18+Datos!AN18))/(Datos!V18+Datos!AN18))
     ),IF(D_I="SI",(Datos!L18-Datos!V18)/Datos!V18,(Datos!L18+Datos!AF18-(Datos!V18+Datos!AN18))/(Datos!V18+Datos!AN18))," - ")</f>
        <v>-0.1111111111111111</v>
      </c>
      <c r="H18" s="244">
        <f>IF(ISNUMBER((Datos!M18-Datos!W18)/Datos!W18),(Datos!M18-Datos!W18)/Datos!W18," - ")</f>
        <v>0.41666666666666669</v>
      </c>
      <c r="I18" s="395">
        <f>IF(ISNUMBER((Tasas!C18-Datos!BE18)/Datos!BE18),(Tasas!C18-Datos!BE18)/Datos!BE18," - ")</f>
        <v>-0.27996814018319399</v>
      </c>
      <c r="J18" s="394">
        <f>IF(ISNUMBER((Tasas!D18-Datos!BF18)/Datos!BF18),(Tasas!D18-Datos!BF18)/Datos!BF18," - ")</f>
        <v>0.1475507765830347</v>
      </c>
      <c r="K18" s="396">
        <f>IF(ISNUMBER((Tasas!E18-Datos!BG18)/Datos!BG18),(Tasas!E18-Datos!BG18)/Datos!BG18," - ")</f>
        <v>-4.6489174569165008E-2</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-0.15187376725838264</v>
      </c>
      <c r="E23" s="399">
        <f>IF(ISNUMBER(
   IF(D_I="SI",(Datos!J23-Datos!T23)/Datos!T23,(Datos!J23+Datos!AD23-(Datos!T23+Datos!AL23))/(Datos!T23+Datos!AL23))
     ),IF(D_I="SI",(Datos!J23-Datos!T23)/Datos!T23,(Datos!J23+Datos!AD23-(Datos!T23+Datos!AL23))/(Datos!T23+Datos!AL23))," - ")</f>
        <v>3.9621318373071528E-2</v>
      </c>
      <c r="F23" s="399">
        <f>IF(ISNUMBER(
   IF(D_I="SI",(Datos!K23-Datos!U23)/Datos!U23,(Datos!K23+Datos!AE23-(Datos!U23+Datos!AM23))/(Datos!U23+Datos!AM23))
     ),IF(D_I="SI",(Datos!K23-Datos!U23)/Datos!U23,(Datos!K23+Datos!AE23-(Datos!U23+Datos!AM23))/(Datos!U23+Datos!AM23))," - ")</f>
        <v>-2.3825065274151437E-2</v>
      </c>
      <c r="G23" s="400">
        <f>IF(ISNUMBER(
   IF(D_I="SI",(Datos!L23-Datos!V23)/Datos!V23,(Datos!L23+Datos!AF23-(Datos!V23+Datos!AN23))/(Datos!V23+Datos!AN23))
     ),IF(D_I="SI",(Datos!L23-Datos!V23)/Datos!V23,(Datos!L23+Datos!AF23-(Datos!V23+Datos!AN23))/(Datos!V23+Datos!AN23))," - ")</f>
        <v>-3.8002980625931444E-2</v>
      </c>
      <c r="H23" s="401">
        <f>IF(ISNUMBER((Datos!M23-Datos!W23)/Datos!W23),(Datos!M23-Datos!W23)/Datos!W23," - ")</f>
        <v>-5.7777777777777775E-2</v>
      </c>
      <c r="I23" s="402">
        <f>IF(ISNUMBER((Tasas!C23-Datos!BE23)/Datos!BE23),(Tasas!C23-Datos!BE23)/Datos!BE23," - ")</f>
        <v>-1.4523949394133691E-2</v>
      </c>
      <c r="J23" s="400">
        <f>IF(ISNUMBER((Tasas!D23-Datos!BF23)/Datos!BF23),(Tasas!D23-Datos!BF23)/Datos!BF23," - ")</f>
        <v>-3.4781381180578823E-2</v>
      </c>
      <c r="K23" s="403">
        <f>IF(ISNUMBER((Tasas!E23-Datos!BG23)/Datos!BG23),(Tasas!E23-Datos!BG23)/Datos!BG23," - ")</f>
        <v>-3.235791680246953E-3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-0.15250236071765816</v>
      </c>
      <c r="E31" s="409">
        <f>IF(ISNUMBER(
   IF(J_V="SI",(Datos!J31-Datos!T31)/Datos!T31,(Datos!J31+Datos!Z31-(Datos!T31+Datos!AH31))/(Datos!T31+Datos!AH31))
     ),IF(J_V="SI",(Datos!J31-Datos!T31)/Datos!T31,(Datos!J31+Datos!Z31-(Datos!T31+Datos!AH31))/(Datos!T31+Datos!AH31))," - ")</f>
        <v>4.8239178283198826E-2</v>
      </c>
      <c r="F31" s="409">
        <f>IF(ISNUMBER(
   IF(J_V="SI",(Datos!K31-Datos!U31)/Datos!U31,(Datos!K31+Datos!AA31-(Datos!U31+Datos!AI31))/(Datos!U31+Datos!AI31))
     ),IF(J_V="SI",(Datos!K31-Datos!U31)/Datos!U31,(Datos!K31+Datos!AA31-(Datos!U31+Datos!AI31))/(Datos!U31+Datos!AI31))," - ")</f>
        <v>-7.578497451915174E-2</v>
      </c>
      <c r="G31" s="410">
        <f>IF(ISNUMBER(
   IF(J_V="SI",(Datos!L31-Datos!V31)/Datos!V31,(Datos!L31+Datos!AB31-(Datos!V31+Datos!AJ31))/(Datos!V31+Datos!AJ31))
     ),IF(J_V="SI",(Datos!L31-Datos!V31)/Datos!V31,(Datos!L31+Datos!AB31-(Datos!V31+Datos!AJ31))/(Datos!V31+Datos!AJ31))," - ")</f>
        <v>-1.5211166785969935E-2</v>
      </c>
      <c r="H31" s="411">
        <f>IF(ISNUMBER((Datos!M31-Datos!W31)/Datos!W31),(Datos!M31-Datos!W31)/Datos!W31," - ")</f>
        <v>-8.0799304952215462E-2</v>
      </c>
      <c r="I31" s="408">
        <f>IF(ISNUMBER((Tasas!C31-Datos!BE31)/Datos!BE31),(Tasas!C31-Datos!BE31)/Datos!BE31," - ")</f>
        <v>6.5540816869609539E-2</v>
      </c>
      <c r="J31" s="409">
        <f>IF(ISNUMBER((Tasas!D31-Datos!BF31)/Datos!BF31),(Tasas!D31-Datos!BF31)/Datos!BF31," - ")</f>
        <v>-0.29855683379719733</v>
      </c>
      <c r="K31" s="410">
        <f>IF(ISNUMBER((Tasas!E31-Datos!BG31)/Datos!BG31),(Tasas!E31-Datos!BG31)/Datos!BG31," - ")</f>
        <v>1.7295621078658535E-2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0.31883075145799905</v>
      </c>
      <c r="E33" s="303">
        <f t="shared" si="1"/>
        <v>3.7641339105930836E-2</v>
      </c>
      <c r="F33" s="303">
        <f t="shared" si="1"/>
        <v>0.13655423047154602</v>
      </c>
      <c r="G33" s="304">
        <f t="shared" si="1"/>
        <v>9.8448709006134935E-2</v>
      </c>
      <c r="H33" s="310">
        <f t="shared" si="1"/>
        <v>0.22604588037129877</v>
      </c>
      <c r="I33" s="302">
        <f t="shared" si="1"/>
        <v>0.26793758234218928</v>
      </c>
      <c r="J33" s="303">
        <f t="shared" si="1"/>
        <v>0.29485376291868026</v>
      </c>
      <c r="K33" s="304">
        <f t="shared" si="1"/>
        <v>0.19825393168273236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DlN/7aFcTVyWu4xR6KtGDffjXKeOEsdL3+bv+ewb+/9GTD9eDRhdEnoCxZmAPutqdXUV4C59XrQt6PvwRj31g==" saltValue="ARYwQ5Ap4wggyH+cx5AUL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